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<sst xmlns="http://schemas.openxmlformats.org/spreadsheetml/2006/main" uniqueCount="372">
  <si>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</si>
  <si>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</si>
  <si>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</si>
  <si>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</si>
  <si>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</si>
  <si>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</si>
  <si>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</si>
  <si>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</si>
  <si>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</si>
  <si>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</si>
  <si>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</si>
  <si>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</si>
  <si>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</si>
  <si>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</si>
  <si>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</si>
  <si>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</si>
  <si>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</si>
  <si>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</si>
  <si>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</si>
  <si>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</si>
  <si>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</si>
  <si>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</si>
  <si>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</si>
  <si>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</si>
  <si>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</si>
  <si>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</si>
  <si>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</si>
  <si>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</si>
  <si>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</si>
  <si>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</si>
  <si>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</si>
  <si>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</si>
  <si>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</si>
  <si>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</si>
  <si>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</si>
  <si>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</si>
  <si>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</si>
  <si>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</si>
  <si>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</si>
  <si>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</si>
  <si>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</si>
  <si>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</si>
  <si>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</si>
  <si>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</si>
  <si>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</si>
  <si>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</si>
  <si>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</si>
  <si>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</si>
  <si>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</si>
  <si>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</si>
  <si>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</si>
  <si>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</si>
  <si>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</si>
  <si>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</si>
  <si>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</si>
  <si>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</si>
  <si>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</si>
  <si>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</si>
  <si>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</si>
  <si>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</si>
  <si>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</si>
  <si>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</si>
  <si>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</si>
  <si>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</si>
  <si>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</si>
  <si>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</si>
  <si>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</si>
  <si>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</si>
  <si>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</si>
  <si>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</si>
  <si>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</si>
  <si>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</si>
  <si>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</si>
  <si>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</si>
  <si>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</si>
  <si>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</si>
  <si>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</si>
  <si>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</si>
  <si>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</si>
  <si>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</si>
  <si>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</si>
  <si>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</si>
  <si>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</si>
  <si>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</si>
  <si>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</si>
  <si>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</si>
  <si>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</si>
  <si>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</si>
  <si>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</si>
  <si>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</si>
  <si>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</si>
  <si>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</si>
  <si>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</si>
  <si>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</si>
  <si>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</si>
  <si>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</si>
  <si>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</si>
  <si>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</si>
  <si>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</si>
  <si>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</si>
  <si>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</si>
  <si>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</si>
  <si>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</si>
  <si>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</si>
  <si>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</si>
  <si>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</si>
  <si>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</si>
  <si>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</si>
  <si>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</si>
  <si>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</si>
  <si>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</si>
  <si>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</si>
  <si>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</si>
  <si>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</si>
  <si>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Land consultancy, buying, selling dubdivision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</si>
  <si>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</si>
  <si>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</si>
  <si>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</si>
  <si>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</si>
  <si>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</si>
  <si>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</si>
  <si>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</si>
  <si>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Residential home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</si>
  <si>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</si>
  <si>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</si>
  <si>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</si>
  <si>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</si>
  <si>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</si>
  <si>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</si>
  <si>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</si>
  <si>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</si>
  <si>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</si>
  <si>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</si>
  <si>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</si>
  <si>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</si>
  <si>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</si>
  <si>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</si>
  <si>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</si>
  <si>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</si>
  <si>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</si>
  <si>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</si>
  <si>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</si>
  <si>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</si>
  <si>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12/20/2016</t>
  </si>
  <si>
    <t xml:space="preserve">Unaitas </t>
  </si>
  <si>
    <t>being paid well</t>
  </si>
  <si>
    <t>3/16/2017</t>
  </si>
  <si>
    <t>mobile loan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</si>
  <si>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</si>
  <si>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</si>
  <si>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</si>
  <si>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</si>
  <si>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</si>
  <si>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</si>
  <si>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</si>
  <si>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</si>
  <si>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</si>
  <si>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</si>
  <si>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</si>
  <si>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</si>
  <si>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2017/6/22</t>
  </si>
  <si>
    <t>Loan terms</t>
  </si>
  <si>
    <t>Expected disbursement date</t>
  </si>
  <si>
    <t>Expected first repayment date</t>
  </si>
  <si>
    <t>2017/7/22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</si>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</sst>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Land consultancy, buying, selling dubdivision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0.276001727020285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0.07996323529411764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366296.1225763801</v>
      </c>
    </row>
    <row r="18" spans="1:7">
      <c r="B18" s="1" t="s">
        <v>12</v>
      </c>
      <c r="C18" s="36">
        <f>MIN(Output!B6:M6)</f>
        <v>-75500.47420110324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126402.1279458801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76000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22499.52579889676</v>
      </c>
      <c r="C6" s="51">
        <f>C30-C88</f>
        <v>126402.1279458801</v>
      </c>
      <c r="D6" s="51">
        <f>D30-D88</f>
        <v>26831.52579889676</v>
      </c>
      <c r="E6" s="51">
        <f>E30-E88</f>
        <v>-75500.47420110324</v>
      </c>
      <c r="F6" s="51">
        <f>F30-F88</f>
        <v>22499.52579889676</v>
      </c>
      <c r="G6" s="51">
        <f>G30-G88</f>
        <v>13899.52579889676</v>
      </c>
      <c r="H6" s="51">
        <f>H30-H88</f>
        <v>22499.52579889676</v>
      </c>
      <c r="I6" s="51">
        <f>I30-I88</f>
        <v>126402.1279458801</v>
      </c>
      <c r="J6" s="51">
        <f>J30-J88</f>
        <v>31043.48232063589</v>
      </c>
      <c r="K6" s="51">
        <f>K30-K88</f>
        <v>-12560.25680979888</v>
      </c>
      <c r="L6" s="51">
        <f>L30-L88</f>
        <v>35439.74319020111</v>
      </c>
      <c r="M6" s="51">
        <f>M30-M88</f>
        <v>26839.74319020111</v>
      </c>
      <c r="N6" s="51">
        <f>N30-N88</f>
        <v>35439.74319020111</v>
      </c>
      <c r="O6" s="51">
        <f>O30-O88</f>
        <v>139342.3453371845</v>
      </c>
      <c r="P6" s="51">
        <f>P30-P88</f>
        <v>39771.74319020111</v>
      </c>
      <c r="Q6" s="51">
        <f>Q30-Q88</f>
        <v>-12560.25680979888</v>
      </c>
      <c r="R6" s="51">
        <f>R30-R88</f>
        <v>35439.74319020111</v>
      </c>
      <c r="S6" s="51">
        <f>S30-S88</f>
        <v>26839.74319020111</v>
      </c>
      <c r="T6" s="51">
        <f>T30-T88</f>
        <v>35439.74319020111</v>
      </c>
      <c r="U6" s="51">
        <f>U30-U88</f>
        <v>139342.3453371845</v>
      </c>
      <c r="V6" s="51">
        <f>V30-V88</f>
        <v>39771.74319020111</v>
      </c>
      <c r="W6" s="51">
        <f>W30-W88</f>
        <v>-12560.25680979888</v>
      </c>
      <c r="X6" s="51">
        <f>X30-X88</f>
        <v>35439.74319020111</v>
      </c>
      <c r="Y6" s="51">
        <f>Y30-Y88</f>
        <v>26839.74319020111</v>
      </c>
      <c r="Z6" s="51">
        <f>SUMIF($B$13:$Y$13,"Yes",B6:Y6)</f>
        <v>401735.8657665812</v>
      </c>
      <c r="AA6" s="51">
        <f>AA30-AA88</f>
        <v>366296.1225763803</v>
      </c>
      <c r="AB6" s="51">
        <f>AB30-AB88</f>
        <v>894842.2451527594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800</v>
      </c>
      <c r="L7" s="80">
        <f>IF(ISERROR(VLOOKUP(MONTH(L5),Inputs!$D$66:$D$71,1,0)),"",INDEX(Inputs!$B$66:$B$71,MATCH(MONTH(Output!L5),Inputs!$D$66:$D$71,0))-INDEX(Inputs!$C$66:$C$71,MATCH(MONTH(Output!L5),Inputs!$D$66:$D$71,0)))</f>
        <v>1000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800</v>
      </c>
      <c r="X7" s="80">
        <f>IF(ISERROR(VLOOKUP(MONTH(X5),Inputs!$D$66:$D$71,1,0)),"",INDEX(Inputs!$B$66:$B$71,MATCH(MONTH(Output!X5),Inputs!$D$66:$D$71,0))-INDEX(Inputs!$C$66:$C$71,MATCH(MONTH(Output!X5),Inputs!$D$66:$D$71,0)))</f>
        <v>1000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142499.5257988968</v>
      </c>
      <c r="C11" s="80">
        <f>C6+C9-C10</f>
        <v>114402.1279458801</v>
      </c>
      <c r="D11" s="80">
        <f>D6+D9-D10</f>
        <v>14831.52579889676</v>
      </c>
      <c r="E11" s="80">
        <f>E6+E9-E10</f>
        <v>-87500.47420110324</v>
      </c>
      <c r="F11" s="80">
        <f>F6+F9-F10</f>
        <v>10499.52579889676</v>
      </c>
      <c r="G11" s="80">
        <f>G6+G9-G10</f>
        <v>1899.525798896764</v>
      </c>
      <c r="H11" s="80">
        <f>H6+H9-H10</f>
        <v>10499.52579889676</v>
      </c>
      <c r="I11" s="80">
        <f>I6+I9-I10</f>
        <v>114402.1279458801</v>
      </c>
      <c r="J11" s="80">
        <f>J6+J9-J10</f>
        <v>19043.48232063589</v>
      </c>
      <c r="K11" s="80">
        <f>K6+K9-K10</f>
        <v>-24560.25680979888</v>
      </c>
      <c r="L11" s="80">
        <f>L6+L9-L10</f>
        <v>23439.74319020111</v>
      </c>
      <c r="M11" s="80">
        <f>M6+M9-M10</f>
        <v>14839.74319020111</v>
      </c>
      <c r="N11" s="80">
        <f>N6+N9-N10</f>
        <v>23439.74319020111</v>
      </c>
      <c r="O11" s="80">
        <f>O6+O9-O10</f>
        <v>139342.3453371845</v>
      </c>
      <c r="P11" s="80">
        <f>P6+P9-P10</f>
        <v>39771.74319020111</v>
      </c>
      <c r="Q11" s="80">
        <f>Q6+Q9-Q10</f>
        <v>-12560.25680979888</v>
      </c>
      <c r="R11" s="80">
        <f>R6+R9-R10</f>
        <v>35439.74319020111</v>
      </c>
      <c r="S11" s="80">
        <f>S6+S9-S10</f>
        <v>26839.74319020111</v>
      </c>
      <c r="T11" s="80">
        <f>T6+T9-T10</f>
        <v>35439.74319020111</v>
      </c>
      <c r="U11" s="80">
        <f>U6+U9-U10</f>
        <v>139342.3453371845</v>
      </c>
      <c r="V11" s="80">
        <f>V6+V9-V10</f>
        <v>39771.74319020111</v>
      </c>
      <c r="W11" s="80">
        <f>W6+W9-W10</f>
        <v>-12560.25680979888</v>
      </c>
      <c r="X11" s="80">
        <f>X6+X9-X10</f>
        <v>35439.74319020111</v>
      </c>
      <c r="Y11" s="80">
        <f>Y6+Y9-Y10</f>
        <v>26839.74319020111</v>
      </c>
      <c r="Z11" s="85">
        <f>SUMIF($B$13:$Y$13,"Yes",B11:Y11)</f>
        <v>377735.8657665812</v>
      </c>
      <c r="AA11" s="80">
        <f>SUM(B11:M11)</f>
        <v>354296.1225763801</v>
      </c>
      <c r="AB11" s="46">
        <f>SUM(B11:Y11)</f>
        <v>870842.2451527602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0.04462598066202144</v>
      </c>
      <c r="D12" s="82">
        <f>IF(D13="Yes",IF(SUM($B$10:D10)/(SUM($B$6:D6)+SUM($B$9:D9))&lt;0,999.99,SUM($B$10:D10)/(SUM($B$6:D6)+SUM($B$9:D9))),"")</f>
        <v>0.08115423516912379</v>
      </c>
      <c r="E12" s="82">
        <f>IF(E13="Yes",IF(SUM($B$10:E10)/(SUM($B$6:E6)+SUM($B$9:E9))&lt;0,999.99,SUM($B$10:E10)/(SUM($B$6:E6)+SUM($B$9:E9))),"")</f>
        <v>0.1634634599071117</v>
      </c>
      <c r="F12" s="82">
        <f>IF(F13="Yes",IF(SUM($B$10:F10)/(SUM($B$6:F6)+SUM($B$9:F9))&lt;0,999.99,SUM($B$10:F10)/(SUM($B$6:F6)+SUM($B$9:F9))),"")</f>
        <v>0.1977487693920015</v>
      </c>
      <c r="G12" s="82">
        <f>IF(G13="Yes",IF(SUM($B$10:G10)/(SUM($B$6:G6)+SUM($B$9:G9))&lt;0,999.99,SUM($B$10:G10)/(SUM($B$6:G6)+SUM($B$9:G9))),"")</f>
        <v>0.2337980330857602</v>
      </c>
      <c r="H12" s="82">
        <f>IF(H13="Yes",IF(SUM($B$10:H10)/(SUM($B$6:H6)+SUM($B$9:H9))&lt;0,999.99,SUM($B$10:H10)/(SUM($B$6:H6)+SUM($B$9:H9))),"")</f>
        <v>0.2579431416408311</v>
      </c>
      <c r="I12" s="82">
        <f>IF(I13="Yes",IF(SUM($B$10:I10)/(SUM($B$6:I6)+SUM($B$9:I9))&lt;0,999.99,SUM($B$10:I10)/(SUM($B$6:I6)+SUM($B$9:I9))),"")</f>
        <v>0.2071345980053373</v>
      </c>
      <c r="J12" s="82">
        <f>IF(J13="Yes",IF(SUM($B$10:J10)/(SUM($B$6:J6)+SUM($B$9:J9))&lt;0,999.99,SUM($B$10:J10)/(SUM($B$6:J6)+SUM($B$9:J9))),"")</f>
        <v>0.2198925356288376</v>
      </c>
      <c r="K12" s="82">
        <f>IF(K13="Yes",IF(SUM($B$10:K10)/(SUM($B$6:K6)+SUM($B$9:K9))&lt;0,999.99,SUM($B$10:K10)/(SUM($B$6:K6)+SUM($B$9:K9))),"")</f>
        <v>0.2547069873694368</v>
      </c>
      <c r="L12" s="82">
        <f>IF(L13="Yes",IF(SUM($B$10:L10)/(SUM($B$6:L6)+SUM($B$9:L9))&lt;0,999.99,SUM($B$10:L10)/(SUM($B$6:L6)+SUM($B$9:L9))),"")</f>
        <v>0.2611782214457805</v>
      </c>
      <c r="M12" s="82">
        <f>IF(M13="Yes",IF(SUM($B$10:M10)/(SUM($B$6:M6)+SUM($B$9:M9))&lt;0,999.99,SUM($B$10:M10)/(SUM($B$6:M6)+SUM($B$9:M9))),"")</f>
        <v>0.2714395486039834</v>
      </c>
      <c r="N12" s="82">
        <f>IF(N13="Yes",IF(SUM($B$10:N10)/(SUM($B$6:N6)+SUM($B$9:N9))&lt;0,999.99,SUM($B$10:N10)/(SUM($B$6:N6)+SUM($B$9:N9))),"")</f>
        <v>0.276001727020285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103902.6021469834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103902.6021469834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103902.6021469834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103902.6021469834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207805.2042939667</v>
      </c>
      <c r="AA18" s="36">
        <f>SUM(B18:M18)</f>
        <v>207805.2042939667</v>
      </c>
      <c r="AB18" s="36">
        <f>SUM(B18:Y18)</f>
        <v>415610.4085879335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563468.75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83343.75</v>
      </c>
      <c r="C30" s="19">
        <f>SUM(C18:C29)</f>
        <v>187246.3521469834</v>
      </c>
      <c r="D30" s="19">
        <f>SUM(D18:D29)</f>
        <v>83343.75</v>
      </c>
      <c r="E30" s="19">
        <f>SUM(E18:E29)</f>
        <v>83343.75</v>
      </c>
      <c r="F30" s="19">
        <f>SUM(F18:F29)</f>
        <v>83343.75</v>
      </c>
      <c r="G30" s="19">
        <f>SUM(G18:G29)</f>
        <v>83343.75</v>
      </c>
      <c r="H30" s="19">
        <f>SUM(H18:H29)</f>
        <v>83343.75</v>
      </c>
      <c r="I30" s="19">
        <f>SUM(I18:I29)</f>
        <v>187246.3521469834</v>
      </c>
      <c r="J30" s="19">
        <f>SUM(J18:J29)</f>
        <v>83343.75</v>
      </c>
      <c r="K30" s="19">
        <f>SUM(K18:K29)</f>
        <v>83343.75</v>
      </c>
      <c r="L30" s="19">
        <f>SUM(L18:L29)</f>
        <v>83343.75</v>
      </c>
      <c r="M30" s="19">
        <f>SUM(M18:M29)</f>
        <v>83343.75</v>
      </c>
      <c r="N30" s="19">
        <f>SUM(N18:N29)</f>
        <v>83343.75</v>
      </c>
      <c r="O30" s="19">
        <f>SUM(O18:O29)</f>
        <v>187246.3521469834</v>
      </c>
      <c r="P30" s="19">
        <f>SUM(P18:P29)</f>
        <v>83343.75</v>
      </c>
      <c r="Q30" s="19">
        <f>SUM(Q18:Q29)</f>
        <v>83343.75</v>
      </c>
      <c r="R30" s="19">
        <f>SUM(R18:R29)</f>
        <v>83343.75</v>
      </c>
      <c r="S30" s="19">
        <f>SUM(S18:S29)</f>
        <v>83343.75</v>
      </c>
      <c r="T30" s="19">
        <f>SUM(T18:T29)</f>
        <v>83343.75</v>
      </c>
      <c r="U30" s="19">
        <f>SUM(U18:U29)</f>
        <v>187246.3521469834</v>
      </c>
      <c r="V30" s="19">
        <f>SUM(V18:V29)</f>
        <v>83343.75</v>
      </c>
      <c r="W30" s="19">
        <f>SUM(W18:W29)</f>
        <v>83343.75</v>
      </c>
      <c r="X30" s="19">
        <f>SUM(X18:X29)</f>
        <v>83343.75</v>
      </c>
      <c r="Y30" s="19">
        <f>SUM(Y18:Y29)</f>
        <v>83343.75</v>
      </c>
      <c r="Z30" s="19">
        <f>SUMIF($B$13:$Y$13,"Yes",B30:Y30)</f>
        <v>1291273.954293967</v>
      </c>
      <c r="AA30" s="19">
        <f>SUM(B30:M30)</f>
        <v>1207930.204293967</v>
      </c>
      <c r="AB30" s="19">
        <f>SUM(B30:Y30)</f>
        <v>2415860.408587934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0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0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0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0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47652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50000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29363.67347646556</v>
      </c>
      <c r="C81" s="46">
        <f>(SUM($AA$18:$AA$29)-SUM($AA$36,$AA$42,$AA$48,$AA$54,$AA$60,$AA$66,$AA$72:$AA$79))*Parameters!$B$37/12</f>
        <v>29363.67347646556</v>
      </c>
      <c r="D81" s="46">
        <f>(SUM($AA$18:$AA$29)-SUM($AA$36,$AA$42,$AA$48,$AA$54,$AA$60,$AA$66,$AA$72:$AA$79))*Parameters!$B$37/12</f>
        <v>29363.67347646556</v>
      </c>
      <c r="E81" s="46">
        <f>(SUM($AA$18:$AA$29)-SUM($AA$36,$AA$42,$AA$48,$AA$54,$AA$60,$AA$66,$AA$72:$AA$79))*Parameters!$B$37/12</f>
        <v>29363.67347646556</v>
      </c>
      <c r="F81" s="46">
        <f>(SUM($AA$18:$AA$29)-SUM($AA$36,$AA$42,$AA$48,$AA$54,$AA$60,$AA$66,$AA$72:$AA$79))*Parameters!$B$37/12</f>
        <v>29363.67347646556</v>
      </c>
      <c r="G81" s="46">
        <f>(SUM($AA$18:$AA$29)-SUM($AA$36,$AA$42,$AA$48,$AA$54,$AA$60,$AA$66,$AA$72:$AA$79))*Parameters!$B$37/12</f>
        <v>29363.67347646556</v>
      </c>
      <c r="H81" s="46">
        <f>(SUM($AA$18:$AA$29)-SUM($AA$36,$AA$42,$AA$48,$AA$54,$AA$60,$AA$66,$AA$72:$AA$79))*Parameters!$B$37/12</f>
        <v>29363.67347646556</v>
      </c>
      <c r="I81" s="46">
        <f>(SUM($AA$18:$AA$29)-SUM($AA$36,$AA$42,$AA$48,$AA$54,$AA$60,$AA$66,$AA$72:$AA$79))*Parameters!$B$37/12</f>
        <v>29363.67347646556</v>
      </c>
      <c r="J81" s="46">
        <f>(SUM($AA$18:$AA$29)-SUM($AA$36,$AA$42,$AA$48,$AA$54,$AA$60,$AA$66,$AA$72:$AA$79))*Parameters!$B$37/12</f>
        <v>29363.67347646556</v>
      </c>
      <c r="K81" s="46">
        <f>(SUM($AA$18:$AA$29)-SUM($AA$36,$AA$42,$AA$48,$AA$54,$AA$60,$AA$66,$AA$72:$AA$79))*Parameters!$B$37/12</f>
        <v>29363.67347646556</v>
      </c>
      <c r="L81" s="46">
        <f>(SUM($AA$18:$AA$29)-SUM($AA$36,$AA$42,$AA$48,$AA$54,$AA$60,$AA$66,$AA$72:$AA$79))*Parameters!$B$37/12</f>
        <v>29363.67347646556</v>
      </c>
      <c r="M81" s="46">
        <f>(SUM($AA$18:$AA$29)-SUM($AA$36,$AA$42,$AA$48,$AA$54,$AA$60,$AA$66,$AA$72:$AA$79))*Parameters!$B$37/12</f>
        <v>29363.67347646556</v>
      </c>
      <c r="N81" s="46">
        <f>(SUM($AA$18:$AA$29)-SUM($AA$36,$AA$42,$AA$48,$AA$54,$AA$60,$AA$66,$AA$72:$AA$79))*Parameters!$B$37/12</f>
        <v>29363.67347646556</v>
      </c>
      <c r="O81" s="46">
        <f>(SUM($AA$18:$AA$29)-SUM($AA$36,$AA$42,$AA$48,$AA$54,$AA$60,$AA$66,$AA$72:$AA$79))*Parameters!$B$37/12</f>
        <v>29363.67347646556</v>
      </c>
      <c r="P81" s="46">
        <f>(SUM($AA$18:$AA$29)-SUM($AA$36,$AA$42,$AA$48,$AA$54,$AA$60,$AA$66,$AA$72:$AA$79))*Parameters!$B$37/12</f>
        <v>29363.67347646556</v>
      </c>
      <c r="Q81" s="46">
        <f>(SUM($AA$18:$AA$29)-SUM($AA$36,$AA$42,$AA$48,$AA$54,$AA$60,$AA$66,$AA$72:$AA$79))*Parameters!$B$37/12</f>
        <v>29363.67347646556</v>
      </c>
      <c r="R81" s="46">
        <f>(SUM($AA$18:$AA$29)-SUM($AA$36,$AA$42,$AA$48,$AA$54,$AA$60,$AA$66,$AA$72:$AA$79))*Parameters!$B$37/12</f>
        <v>29363.67347646556</v>
      </c>
      <c r="S81" s="46">
        <f>(SUM($AA$18:$AA$29)-SUM($AA$36,$AA$42,$AA$48,$AA$54,$AA$60,$AA$66,$AA$72:$AA$79))*Parameters!$B$37/12</f>
        <v>29363.67347646556</v>
      </c>
      <c r="T81" s="46">
        <f>(SUM($AA$18:$AA$29)-SUM($AA$36,$AA$42,$AA$48,$AA$54,$AA$60,$AA$66,$AA$72:$AA$79))*Parameters!$B$37/12</f>
        <v>29363.67347646556</v>
      </c>
      <c r="U81" s="46">
        <f>(SUM($AA$18:$AA$29)-SUM($AA$36,$AA$42,$AA$48,$AA$54,$AA$60,$AA$66,$AA$72:$AA$79))*Parameters!$B$37/12</f>
        <v>29363.67347646556</v>
      </c>
      <c r="V81" s="46">
        <f>(SUM($AA$18:$AA$29)-SUM($AA$36,$AA$42,$AA$48,$AA$54,$AA$60,$AA$66,$AA$72:$AA$79))*Parameters!$B$37/12</f>
        <v>29363.67347646556</v>
      </c>
      <c r="W81" s="46">
        <f>(SUM($AA$18:$AA$29)-SUM($AA$36,$AA$42,$AA$48,$AA$54,$AA$60,$AA$66,$AA$72:$AA$79))*Parameters!$B$37/12</f>
        <v>29363.67347646556</v>
      </c>
      <c r="X81" s="46">
        <f>(SUM($AA$18:$AA$29)-SUM($AA$36,$AA$42,$AA$48,$AA$54,$AA$60,$AA$66,$AA$72:$AA$79))*Parameters!$B$37/12</f>
        <v>29363.67347646556</v>
      </c>
      <c r="Y81" s="46">
        <f>(SUM($AA$18:$AA$29)-SUM($AA$36,$AA$42,$AA$48,$AA$54,$AA$60,$AA$66,$AA$72:$AA$79))*Parameters!$B$37/12</f>
        <v>29363.67347646556</v>
      </c>
      <c r="Z81" s="46">
        <f>SUMIF($B$13:$Y$13,"Yes",B81:Y81)</f>
        <v>381727.7551940524</v>
      </c>
      <c r="AA81" s="46">
        <f>SUM(B81:M81)</f>
        <v>352364.0817175868</v>
      </c>
      <c r="AB81" s="46">
        <f>SUM(B81:Y81)</f>
        <v>704728.1634351732</v>
      </c>
    </row>
    <row r="82" spans="1:30">
      <c r="A82" s="16" t="s">
        <v>52</v>
      </c>
      <c r="B82" s="46">
        <f>SUM(B83:B87)</f>
        <v>12940.21739130435</v>
      </c>
      <c r="C82" s="46">
        <f>SUM(C83:C87)</f>
        <v>12940.21739130435</v>
      </c>
      <c r="D82" s="46">
        <f>SUM(D83:D87)</f>
        <v>12940.21739130435</v>
      </c>
      <c r="E82" s="46">
        <f>SUM(E83:E87)</f>
        <v>12940.21739130435</v>
      </c>
      <c r="F82" s="46">
        <f>SUM(F83:F87)</f>
        <v>12940.21739130435</v>
      </c>
      <c r="G82" s="46">
        <f>SUM(G83:G87)</f>
        <v>12940.21739130435</v>
      </c>
      <c r="H82" s="46">
        <f>SUM(H83:H87)</f>
        <v>12940.21739130435</v>
      </c>
      <c r="I82" s="46">
        <f>SUM(I83:I87)</f>
        <v>12940.21739130435</v>
      </c>
      <c r="J82" s="46">
        <f>SUM(J83:J87)</f>
        <v>8728.260869565216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112250</v>
      </c>
      <c r="AA82" s="46">
        <f>SUM(B82:M82)</f>
        <v>112250</v>
      </c>
      <c r="AB82" s="46">
        <f>SUM(B82:Y82)</f>
        <v>112250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12940.21739130435</v>
      </c>
      <c r="C83" s="46">
        <f>IF(Calculations!$E23&gt;COUNT(Output!$B$35:C$35),Calculations!$B23,IF(Calculations!$E23=COUNT(Output!$B$35:C$35),Inputs!$B56-Calculations!$C23*(Calculations!$E23-1)+Calculations!$D23,0))</f>
        <v>12940.21739130435</v>
      </c>
      <c r="D83" s="46">
        <f>IF(Calculations!$E23&gt;COUNT(Output!$B$35:D$35),Calculations!$B23,IF(Calculations!$E23=COUNT(Output!$B$35:D$35),Inputs!$B56-Calculations!$C23*(Calculations!$E23-1)+Calculations!$D23,0))</f>
        <v>12940.21739130435</v>
      </c>
      <c r="E83" s="46">
        <f>IF(Calculations!$E23&gt;COUNT(Output!$B$35:E$35),Calculations!$B23,IF(Calculations!$E23=COUNT(Output!$B$35:E$35),Inputs!$B56-Calculations!$C23*(Calculations!$E23-1)+Calculations!$D23,0))</f>
        <v>12940.21739130435</v>
      </c>
      <c r="F83" s="46">
        <f>IF(Calculations!$E23&gt;COUNT(Output!$B$35:F$35),Calculations!$B23,IF(Calculations!$E23=COUNT(Output!$B$35:F$35),Inputs!$B56-Calculations!$C23*(Calculations!$E23-1)+Calculations!$D23,0))</f>
        <v>12940.21739130435</v>
      </c>
      <c r="G83" s="46">
        <f>IF(Calculations!$E23&gt;COUNT(Output!$B$35:G$35),Calculations!$B23,IF(Calculations!$E23=COUNT(Output!$B$35:G$35),Inputs!$B56-Calculations!$C23*(Calculations!$E23-1)+Calculations!$D23,0))</f>
        <v>12940.21739130435</v>
      </c>
      <c r="H83" s="46">
        <f>IF(Calculations!$E23&gt;COUNT(Output!$B$35:H$35),Calculations!$B23,IF(Calculations!$E23=COUNT(Output!$B$35:H$35),Inputs!$B56-Calculations!$C23*(Calculations!$E23-1)+Calculations!$D23,0))</f>
        <v>12940.21739130435</v>
      </c>
      <c r="I83" s="46">
        <f>IF(Calculations!$E23&gt;COUNT(Output!$B$35:I$35),Calculations!$B23,IF(Calculations!$E23=COUNT(Output!$B$35:I$35),Inputs!$B56-Calculations!$C23*(Calculations!$E23-1)+Calculations!$D23,0))</f>
        <v>12940.21739130435</v>
      </c>
      <c r="J83" s="46">
        <f>IF(Calculations!$E23&gt;COUNT(Output!$B$35:J$35),Calculations!$B23,IF(Calculations!$E23=COUNT(Output!$B$35:J$35),Inputs!$B56-Calculations!$C23*(Calculations!$E23-1)+Calculations!$D23,0))</f>
        <v>8728.260869565216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112250</v>
      </c>
      <c r="AA83" s="46">
        <f>SUM(B83:M83)</f>
        <v>112250</v>
      </c>
      <c r="AB83" s="46">
        <f>SUM(B83:Y83)</f>
        <v>112250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60844.22420110324</v>
      </c>
      <c r="C88" s="19">
        <f>SUM(C72:C82,C66,C60,C54,C48,C42,C36)</f>
        <v>60844.22420110324</v>
      </c>
      <c r="D88" s="19">
        <f>SUM(D72:D82,D66,D60,D54,D48,D42,D36)</f>
        <v>56512.22420110324</v>
      </c>
      <c r="E88" s="19">
        <f>SUM(E72:E82,E66,E60,E54,E48,E42,E36)</f>
        <v>158844.2242011032</v>
      </c>
      <c r="F88" s="19">
        <f>SUM(F72:F82,F66,F60,F54,F48,F42,F36)</f>
        <v>60844.22420110324</v>
      </c>
      <c r="G88" s="19">
        <f>SUM(G72:G82,G66,G60,G54,G48,G42,G36)</f>
        <v>69444.22420110324</v>
      </c>
      <c r="H88" s="19">
        <f>SUM(H72:H82,H66,H60,H54,H48,H42,H36)</f>
        <v>60844.22420110324</v>
      </c>
      <c r="I88" s="19">
        <f>SUM(I72:I82,I66,I60,I54,I48,I42,I36)</f>
        <v>60844.22420110324</v>
      </c>
      <c r="J88" s="19">
        <f>SUM(J72:J82,J66,J60,J54,J48,J42,J36)</f>
        <v>52300.26767936411</v>
      </c>
      <c r="K88" s="19">
        <f>SUM(K72:K82,K66,K60,K54,K48,K42,K36)</f>
        <v>95904.00680979888</v>
      </c>
      <c r="L88" s="19">
        <f>SUM(L72:L82,L66,L60,L54,L48,L42,L36)</f>
        <v>47904.00680979889</v>
      </c>
      <c r="M88" s="19">
        <f>SUM(M72:M82,M66,M60,M54,M48,M42,M36)</f>
        <v>56504.00680979889</v>
      </c>
      <c r="N88" s="19">
        <f>SUM(N72:N82,N66,N60,N54,N48,N42,N36)</f>
        <v>47904.00680979889</v>
      </c>
      <c r="O88" s="19">
        <f>SUM(O72:O82,O66,O60,O54,O48,O42,O36)</f>
        <v>47904.00680979889</v>
      </c>
      <c r="P88" s="19">
        <f>SUM(P72:P82,P66,P60,P54,P48,P42,P36)</f>
        <v>43572.00680979889</v>
      </c>
      <c r="Q88" s="19">
        <f>SUM(Q72:Q82,Q66,Q60,Q54,Q48,Q42,Q36)</f>
        <v>95904.00680979888</v>
      </c>
      <c r="R88" s="19">
        <f>SUM(R72:R82,R66,R60,R54,R48,R42,R36)</f>
        <v>47904.00680979889</v>
      </c>
      <c r="S88" s="19">
        <f>SUM(S72:S82,S66,S60,S54,S48,S42,S36)</f>
        <v>56504.00680979889</v>
      </c>
      <c r="T88" s="19">
        <f>SUM(T72:T82,T66,T60,T54,T48,T42,T36)</f>
        <v>47904.00680979889</v>
      </c>
      <c r="U88" s="19">
        <f>SUM(U72:U82,U66,U60,U54,U48,U42,U36)</f>
        <v>47904.00680979889</v>
      </c>
      <c r="V88" s="19">
        <f>SUM(V72:V82,V66,V60,V54,V48,V42,V36)</f>
        <v>43572.00680979889</v>
      </c>
      <c r="W88" s="19">
        <f>SUM(W72:W82,W66,W60,W54,W48,W42,W36)</f>
        <v>95904.00680979888</v>
      </c>
      <c r="X88" s="19">
        <f>SUM(X72:X82,X66,X60,X54,X48,X42,X36)</f>
        <v>47904.00680979889</v>
      </c>
      <c r="Y88" s="19">
        <f>SUM(Y72:Y82,Y66,Y60,Y54,Y48,Y42,Y36)</f>
        <v>56504.00680979889</v>
      </c>
      <c r="Z88" s="19">
        <f>SUMIF($B$13:$Y$13,"Yes",B88:Y88)</f>
        <v>889538.0885273854</v>
      </c>
      <c r="AA88" s="19">
        <f>SUM(B88:M88)</f>
        <v>841634.0817175865</v>
      </c>
      <c r="AB88" s="19">
        <f>SUM(B88:Y88)</f>
        <v>1521018.163435174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2720000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87500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217500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40000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50000</v>
      </c>
      <c r="C35" s="145" t="s">
        <v>94</v>
      </c>
      <c r="D35" s="49">
        <f>IFERROR(VLOOKUP(C35,Parameters!$C$79:$D$90,2,0),"")</f>
        <v>9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450000</v>
      </c>
    </row>
    <row r="46" spans="1:48" customHeight="1" ht="30">
      <c r="A46" s="57" t="s">
        <v>131</v>
      </c>
      <c r="B46" s="161">
        <v>200000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20000</v>
      </c>
    </row>
    <row r="50" spans="1:48">
      <c r="A50" s="43"/>
      <c r="B50" s="36"/>
    </row>
    <row r="51" spans="1:48">
      <c r="A51" s="58" t="s">
        <v>135</v>
      </c>
      <c r="B51" s="161">
        <v>10000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150000</v>
      </c>
      <c r="B56" s="159">
        <v>87500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2000</v>
      </c>
      <c r="B57" s="157">
        <v>0</v>
      </c>
      <c r="C57" s="164" t="s">
        <v>146</v>
      </c>
      <c r="D57" s="165" t="s">
        <v>147</v>
      </c>
      <c r="E57" s="165" t="s">
        <v>93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98000</v>
      </c>
      <c r="C66" s="163">
        <v>98000</v>
      </c>
      <c r="D66" s="49">
        <f>INDEX(Parameters!$D$79:$D$90,MATCH(Inputs!A66,Parameters!$C$79:$C$90,0))</f>
        <v>5</v>
      </c>
    </row>
    <row r="67" spans="1:48">
      <c r="A67" s="143" t="s">
        <v>152</v>
      </c>
      <c r="B67" s="157">
        <v>71000</v>
      </c>
      <c r="C67" s="165">
        <v>70000</v>
      </c>
      <c r="D67" s="49">
        <f>INDEX(Parameters!$D$79:$D$90,MATCH(Inputs!A67,Parameters!$C$79:$C$90,0))</f>
        <v>4</v>
      </c>
    </row>
    <row r="68" spans="1:48">
      <c r="A68" s="143" t="s">
        <v>153</v>
      </c>
      <c r="B68" s="157">
        <v>136800</v>
      </c>
      <c r="C68" s="165">
        <v>136000</v>
      </c>
      <c r="D68" s="49">
        <f>INDEX(Parameters!$D$79:$D$90,MATCH(Inputs!A68,Parameters!$C$79:$C$90,0))</f>
        <v>3</v>
      </c>
    </row>
    <row r="69" spans="1:48">
      <c r="A69" s="143" t="s">
        <v>154</v>
      </c>
      <c r="B69" s="157">
        <v>84000</v>
      </c>
      <c r="C69" s="165">
        <v>84000</v>
      </c>
      <c r="D69" s="49">
        <f>INDEX(Parameters!$D$79:$D$90,MATCH(Inputs!A69,Parameters!$C$79:$C$90,0))</f>
        <v>2</v>
      </c>
    </row>
    <row r="70" spans="1:48">
      <c r="A70" s="143" t="s">
        <v>155</v>
      </c>
      <c r="B70" s="157">
        <v>130000</v>
      </c>
      <c r="C70" s="165">
        <v>130000</v>
      </c>
      <c r="D70" s="49">
        <f>INDEX(Parameters!$D$79:$D$90,MATCH(Inputs!A70,Parameters!$C$79:$C$90,0))</f>
        <v>1</v>
      </c>
    </row>
    <row r="71" spans="1:48">
      <c r="A71" s="144" t="s">
        <v>156</v>
      </c>
      <c r="B71" s="158">
        <v>250000</v>
      </c>
      <c r="C71" s="167">
        <v>250000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120000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207805.2042939667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150000</v>
      </c>
      <c r="B23" s="75">
        <f>SUM(C23:D23)</f>
        <v>12940.21739130435</v>
      </c>
      <c r="C23" s="75">
        <f>IF(Inputs!B56&gt;0,(Inputs!A56-Inputs!B56)/(DATE(YEAR(Inputs!$B$76),MONTH(Inputs!$B$76),DAY(Inputs!$B$76))-DATE(YEAR(Inputs!C56),MONTH(Inputs!C56),DAY(Inputs!C56)))*30,0)</f>
        <v>10190.21739130435</v>
      </c>
      <c r="D23" s="75">
        <f>IF(Inputs!B56&gt;0,Inputs!A56*0.22/12,0)</f>
        <v>2750</v>
      </c>
      <c r="E23" s="75">
        <f>IFERROR(ROUNDUP(Inputs!B56/C23,0),0)</f>
        <v>9</v>
      </c>
    </row>
    <row r="24" spans="1:52">
      <c r="A24" s="46">
        <f>Inputs!A57</f>
        <v>2000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42938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42917</v>
      </c>
      <c r="F33" t="s">
        <v>162</v>
      </c>
      <c r="G33" s="128">
        <f>IF(Inputs!B79="","",DATE(YEAR(Inputs!B79),MONTH(Inputs!B79),DAY(Inputs!B79)))</f>
        <v>42908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42969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42948</v>
      </c>
      <c r="F34" t="s">
        <v>163</v>
      </c>
      <c r="G34" s="128">
        <f>IF(Inputs!B80="","",DATE(YEAR(Inputs!B80),MONTH(Inputs!B80),DAY(Inputs!B80)))</f>
        <v>42938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43000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42979</v>
      </c>
      <c r="F35" t="s">
        <v>165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43030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43009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43061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43040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43091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43070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43122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43101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43153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43132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43181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43160</v>
      </c>
      <c r="F41" t="s">
        <v>229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43212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43191</v>
      </c>
      <c r="F42" t="s">
        <v>230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43242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43273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128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128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317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361</v>
      </c>
      <c r="F79" s="12" t="s">
        <v>362</v>
      </c>
      <c r="G79" s="12" t="s">
        <v>109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