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<sst xmlns="http://schemas.openxmlformats.org/spreadsheetml/2006/main" uniqueCount="379">
  <si>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</si>
  <si>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</si>
  <si>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</si>
  <si>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</si>
  <si>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</si>
  <si>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</si>
  <si>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</si>
  <si>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</si>
  <si>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</si>
  <si>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</si>
  <si>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</si>
  <si>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</si>
  <si>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</si>
  <si>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</si>
  <si>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</si>
  <si>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</si>
  <si>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</si>
  <si>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</si>
  <si>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</si>
  <si>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</si>
  <si>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</si>
  <si>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</si>
  <si>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</si>
  <si>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</si>
  <si>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</si>
  <si>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</si>
  <si>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</si>
  <si>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</si>
  <si>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</si>
  <si>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</si>
  <si>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</si>
  <si>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</si>
  <si>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</si>
  <si>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</si>
  <si>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</si>
  <si>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</si>
  <si>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</si>
  <si>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</si>
  <si>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</si>
  <si>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</si>
  <si>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</si>
  <si>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</si>
  <si>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</si>
  <si>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</si>
  <si>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</si>
  <si>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</si>
  <si>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</si>
  <si>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</si>
  <si>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</si>
  <si>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</si>
  <si>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</si>
  <si>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</si>
  <si>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</si>
  <si>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</si>
  <si>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</si>
  <si>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</si>
  <si>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</si>
  <si>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</si>
  <si>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</si>
  <si>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</si>
  <si>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</si>
  <si>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</si>
  <si>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</si>
  <si>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</si>
  <si>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</si>
  <si>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</si>
  <si>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</si>
  <si>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</si>
  <si>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</si>
  <si>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</si>
  <si>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</si>
  <si>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</si>
  <si>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</si>
  <si>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</si>
  <si>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</si>
  <si>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</si>
  <si>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</si>
  <si>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</si>
  <si>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</si>
  <si>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</si>
  <si>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</si>
  <si>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</si>
  <si>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</si>
  <si>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</si>
  <si>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</si>
  <si>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</si>
  <si>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</si>
  <si>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</si>
  <si>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</si>
  <si>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</si>
  <si>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</si>
  <si>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</si>
  <si>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</si>
  <si>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</si>
  <si>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August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</si>
  <si>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</si>
  <si>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</si>
  <si>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</si>
  <si>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</si>
  <si>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</si>
  <si>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</si>
  <si>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</si>
  <si>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</si>
  <si>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</si>
  <si>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</si>
  <si>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</si>
  <si>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</si>
  <si>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</si>
  <si>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</si>
  <si>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</si>
  <si>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</si>
  <si>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</si>
  <si>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</si>
  <si>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</si>
  <si>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</si>
  <si>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grocery shop and 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</si>
  <si>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</si>
  <si>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</si>
  <si>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</si>
  <si>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</si>
  <si>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</si>
  <si>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</si>
  <si>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</si>
  <si>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bodaboda</t>
  </si>
  <si>
    <t>February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</si>
  <si>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</si>
  <si>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</si>
  <si>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</si>
  <si>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</si>
  <si>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</si>
  <si>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</si>
  <si>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</si>
  <si>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</si>
  <si>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</si>
  <si>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</si>
  <si>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</si>
  <si>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</si>
  <si>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</si>
  <si>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</si>
  <si>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</si>
  <si>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</si>
  <si>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</si>
  <si>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</si>
  <si>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</si>
  <si>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</si>
  <si>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5/19/2017</t>
  </si>
  <si>
    <t>gusii mwalimu sacco</t>
  </si>
  <si>
    <t>check off</t>
  </si>
  <si>
    <t>7/18/2016</t>
  </si>
  <si>
    <t>Musoni</t>
  </si>
  <si>
    <t>trp 100%</t>
  </si>
  <si>
    <t>9/27/2014</t>
  </si>
  <si>
    <t>barclays</t>
  </si>
  <si>
    <t>check off trp 100%</t>
  </si>
  <si>
    <t>2/27/2016</t>
  </si>
  <si>
    <t>78days in arrears</t>
  </si>
  <si>
    <t>account closed.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</si>
  <si>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</si>
  <si>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</si>
  <si>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</si>
  <si>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</si>
  <si>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</si>
  <si>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</si>
  <si>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</si>
  <si>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January</t>
  </si>
  <si>
    <t>Loan info</t>
  </si>
  <si>
    <t>Branch ID</t>
  </si>
  <si>
    <t>Submission date</t>
  </si>
  <si>
    <t>2017/6/27</t>
  </si>
  <si>
    <t>Loan terms</t>
  </si>
  <si>
    <t>Expected disbursement date</t>
  </si>
  <si>
    <t>Expected first repayment date</t>
  </si>
  <si>
    <t>2017/7/27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</si>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</sst>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grocery shop and 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0.05613350958360872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12500</v>
      </c>
    </row>
    <row r="17" spans="1:7">
      <c r="B17" s="1" t="s">
        <v>11</v>
      </c>
      <c r="C17" s="36">
        <f>SUM(Output!B6:M6)</f>
        <v>-231149.899863932</v>
      </c>
    </row>
    <row r="18" spans="1:7">
      <c r="B18" s="1" t="s">
        <v>12</v>
      </c>
      <c r="C18" s="36">
        <f>MIN(Output!B6:M6)</f>
        <v>-291469.5558834232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34657.88917372722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973200</v>
      </c>
    </row>
    <row r="25" spans="1:7">
      <c r="B25" s="1" t="s">
        <v>18</v>
      </c>
      <c r="C25" s="36">
        <f>MAX(Inputs!A56:A60)</f>
        <v>2600000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1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-291469.5558834232</v>
      </c>
      <c r="C6" s="51">
        <f>C30-C88</f>
        <v>34657.88917372722</v>
      </c>
      <c r="D6" s="51">
        <f>D30-D88</f>
        <v>-3744.110826272779</v>
      </c>
      <c r="E6" s="51">
        <f>E30-E88</f>
        <v>5497.889173727221</v>
      </c>
      <c r="F6" s="51">
        <f>F30-F88</f>
        <v>-502.1108262727794</v>
      </c>
      <c r="G6" s="51">
        <f>G30-G88</f>
        <v>1297.889173727221</v>
      </c>
      <c r="H6" s="51">
        <f>H30-H88</f>
        <v>5000.444116576829</v>
      </c>
      <c r="I6" s="51">
        <f>I30-I88</f>
        <v>-18599.79066063068</v>
      </c>
      <c r="J6" s="51">
        <f>J30-J88</f>
        <v>-41822.11082627278</v>
      </c>
      <c r="K6" s="51">
        <f>K30-K88</f>
        <v>28177.88917372722</v>
      </c>
      <c r="L6" s="51">
        <f>L30-L88</f>
        <v>22177.88917372722</v>
      </c>
      <c r="M6" s="51">
        <f>M30-M88</f>
        <v>28177.88917372722</v>
      </c>
      <c r="N6" s="51">
        <f>N30-N88</f>
        <v>27680.44411657683</v>
      </c>
      <c r="O6" s="51">
        <f>O30-O88</f>
        <v>34657.88917372722</v>
      </c>
      <c r="P6" s="51">
        <f>P30-P88</f>
        <v>-3744.110826272779</v>
      </c>
      <c r="Q6" s="51">
        <f>Q30-Q88</f>
        <v>5497.889173727221</v>
      </c>
      <c r="R6" s="51">
        <f>R30-R88</f>
        <v>-502.1108262727794</v>
      </c>
      <c r="S6" s="51">
        <f>S30-S88</f>
        <v>1297.889173727221</v>
      </c>
      <c r="T6" s="51">
        <f>T30-T88</f>
        <v>5000.444116576829</v>
      </c>
      <c r="U6" s="51">
        <f>U30-U88</f>
        <v>-18599.79066063068</v>
      </c>
      <c r="V6" s="51">
        <f>V30-V88</f>
        <v>23177.88917372722</v>
      </c>
      <c r="W6" s="51">
        <f>W30-W88</f>
        <v>28177.88917372722</v>
      </c>
      <c r="X6" s="51">
        <f>X30-X88</f>
        <v>22177.88917372722</v>
      </c>
      <c r="Y6" s="51">
        <f>Y30-Y88</f>
        <v>28177.88917372722</v>
      </c>
      <c r="Z6" s="51">
        <f>SUMIF($B$13:$Y$13,"Yes",B6:Y6)</f>
        <v>-167057.7882261735</v>
      </c>
      <c r="AA6" s="51">
        <f>AA30-AA88</f>
        <v>-231149.8998639319</v>
      </c>
      <c r="AB6" s="51">
        <f>AB30-AB88</f>
        <v>-78149.7997278634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92173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-7934</v>
      </c>
      <c r="J7" s="80">
        <f>IF(ISERROR(VLOOKUP(MONTH(J5),Inputs!$D$66:$D$71,1,0)),"",INDEX(Inputs!$B$66:$B$71,MATCH(MONTH(Output!J5),Inputs!$D$66:$D$71,0))-INDEX(Inputs!$C$66:$C$71,MATCH(MONTH(Output!J5),Inputs!$D$66:$D$71,0)))</f>
        <v>-21018</v>
      </c>
      <c r="K7" s="80">
        <f>IF(ISERROR(VLOOKUP(MONTH(K5),Inputs!$D$66:$D$71,1,0)),"",INDEX(Inputs!$B$66:$B$71,MATCH(MONTH(Output!K5),Inputs!$D$66:$D$71,0))-INDEX(Inputs!$C$66:$C$71,MATCH(MONTH(Output!K5),Inputs!$D$66:$D$71,0)))</f>
        <v>1189</v>
      </c>
      <c r="L7" s="80">
        <f>IF(ISERROR(VLOOKUP(MONTH(L5),Inputs!$D$66:$D$71,1,0)),"",INDEX(Inputs!$B$66:$B$71,MATCH(MONTH(Output!L5),Inputs!$D$66:$D$71,0))-INDEX(Inputs!$C$66:$C$71,MATCH(MONTH(Output!L5),Inputs!$D$66:$D$71,0)))</f>
        <v>6346</v>
      </c>
      <c r="M7" s="80">
        <f>IF(ISERROR(VLOOKUP(MONTH(M5),Inputs!$D$66:$D$71,1,0)),"",INDEX(Inputs!$B$66:$B$71,MATCH(MONTH(Output!M5),Inputs!$D$66:$D$71,0))-INDEX(Inputs!$C$66:$C$71,MATCH(MONTH(Output!M5),Inputs!$D$66:$D$71,0)))</f>
        <v>13811</v>
      </c>
      <c r="N7" s="80">
        <f>IF(ISERROR(VLOOKUP(MONTH(N5),Inputs!$D$66:$D$71,1,0)),"",INDEX(Inputs!$B$66:$B$71,MATCH(MONTH(Output!N5),Inputs!$D$66:$D$71,0))-INDEX(Inputs!$C$66:$C$71,MATCH(MONTH(Output!N5),Inputs!$D$66:$D$71,0)))</f>
        <v>92173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-7934</v>
      </c>
      <c r="V7" s="80">
        <f>IF(ISERROR(VLOOKUP(MONTH(V5),Inputs!$D$66:$D$71,1,0)),"",INDEX(Inputs!$B$66:$B$71,MATCH(MONTH(Output!V5),Inputs!$D$66:$D$71,0))-INDEX(Inputs!$C$66:$C$71,MATCH(MONTH(Output!V5),Inputs!$D$66:$D$71,0)))</f>
        <v>-21018</v>
      </c>
      <c r="W7" s="80">
        <f>IF(ISERROR(VLOOKUP(MONTH(W5),Inputs!$D$66:$D$71,1,0)),"",INDEX(Inputs!$B$66:$B$71,MATCH(MONTH(Output!W5),Inputs!$D$66:$D$71,0))-INDEX(Inputs!$C$66:$C$71,MATCH(MONTH(Output!W5),Inputs!$D$66:$D$71,0)))</f>
        <v>1189</v>
      </c>
      <c r="X7" s="80">
        <f>IF(ISERROR(VLOOKUP(MONTH(X5),Inputs!$D$66:$D$71,1,0)),"",INDEX(Inputs!$B$66:$B$71,MATCH(MONTH(Output!X5),Inputs!$D$66:$D$71,0))-INDEX(Inputs!$C$66:$C$71,MATCH(MONTH(Output!X5),Inputs!$D$66:$D$71,0)))</f>
        <v>6346</v>
      </c>
      <c r="Y7" s="80">
        <f>IF(ISERROR(VLOOKUP(MONTH(Y5),Inputs!$D$66:$D$71,1,0)),"",INDEX(Inputs!$B$66:$B$71,MATCH(MONTH(Output!Y5),Inputs!$D$66:$D$71,0))-INDEX(Inputs!$C$66:$C$71,MATCH(MONTH(Output!Y5),Inputs!$D$66:$D$71,0)))</f>
        <v>13811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12500</v>
      </c>
      <c r="D10" s="37">
        <f>SUMPRODUCT((Calculations!$D$33:$D$84=Output!D5)+0,Calculations!$C$33:$C$84)</f>
        <v>12500</v>
      </c>
      <c r="E10" s="37">
        <f>SUMPRODUCT((Calculations!$D$33:$D$84=Output!E5)+0,Calculations!$C$33:$C$84)</f>
        <v>12500</v>
      </c>
      <c r="F10" s="37">
        <f>SUMPRODUCT((Calculations!$D$33:$D$84=Output!F5)+0,Calculations!$C$33:$C$84)</f>
        <v>12500</v>
      </c>
      <c r="G10" s="37">
        <f>SUMPRODUCT((Calculations!$D$33:$D$84=Output!G5)+0,Calculations!$C$33:$C$84)</f>
        <v>12500</v>
      </c>
      <c r="H10" s="37">
        <f>SUMPRODUCT((Calculations!$D$33:$D$84=Output!H5)+0,Calculations!$C$33:$C$84)</f>
        <v>12500</v>
      </c>
      <c r="I10" s="37">
        <f>SUMPRODUCT((Calculations!$D$33:$D$84=Output!I5)+0,Calculations!$C$33:$C$84)</f>
        <v>12500</v>
      </c>
      <c r="J10" s="37">
        <f>SUMPRODUCT((Calculations!$D$33:$D$84=Output!J5)+0,Calculations!$C$33:$C$84)</f>
        <v>12500</v>
      </c>
      <c r="K10" s="37">
        <f>SUMPRODUCT((Calculations!$D$33:$D$84=Output!K5)+0,Calculations!$C$33:$C$84)</f>
        <v>12500</v>
      </c>
      <c r="L10" s="37">
        <f>SUMPRODUCT((Calculations!$D$33:$D$84=Output!L5)+0,Calculations!$C$33:$C$84)</f>
        <v>12500</v>
      </c>
      <c r="M10" s="37">
        <f>SUMPRODUCT((Calculations!$D$33:$D$84=Output!M5)+0,Calculations!$C$33:$C$84)</f>
        <v>12500</v>
      </c>
      <c r="N10" s="37">
        <f>SUMPRODUCT((Calculations!$D$33:$D$84=Output!N5)+0,Calculations!$C$33:$C$84)</f>
        <v>12500</v>
      </c>
      <c r="O10" s="37">
        <f>SUMPRODUCT((Calculations!$D$33:$D$84=Output!O5)+0,Calculations!$C$33:$C$84)</f>
        <v>12500</v>
      </c>
      <c r="P10" s="37">
        <f>SUMPRODUCT((Calculations!$D$33:$D$84=Output!P5)+0,Calculations!$C$33:$C$84)</f>
        <v>12500</v>
      </c>
      <c r="Q10" s="37">
        <f>SUMPRODUCT((Calculations!$D$33:$D$84=Output!Q5)+0,Calculations!$C$33:$C$84)</f>
        <v>12500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187500</v>
      </c>
      <c r="AA10" s="37">
        <f>SUM(B10:M10)</f>
        <v>137500</v>
      </c>
      <c r="AB10" s="37">
        <f>SUM(B10:Y10)</f>
        <v>187500</v>
      </c>
    </row>
    <row r="11" spans="1:30" customHeight="1" ht="15.75">
      <c r="A11" s="43" t="s">
        <v>31</v>
      </c>
      <c r="B11" s="80">
        <f>B6+B9-B10</f>
        <v>-141469.5558834232</v>
      </c>
      <c r="C11" s="80">
        <f>C6+C9-C10</f>
        <v>22157.88917372722</v>
      </c>
      <c r="D11" s="80">
        <f>D6+D9-D10</f>
        <v>-16244.11082627278</v>
      </c>
      <c r="E11" s="80">
        <f>E6+E9-E10</f>
        <v>-7002.110826272779</v>
      </c>
      <c r="F11" s="80">
        <f>F6+F9-F10</f>
        <v>-13002.11082627278</v>
      </c>
      <c r="G11" s="80">
        <f>G6+G9-G10</f>
        <v>-11202.11082627278</v>
      </c>
      <c r="H11" s="80">
        <f>H6+H9-H10</f>
        <v>-7499.555883423171</v>
      </c>
      <c r="I11" s="80">
        <f>I6+I9-I10</f>
        <v>-31099.79066063068</v>
      </c>
      <c r="J11" s="80">
        <f>J6+J9-J10</f>
        <v>-54322.11082627278</v>
      </c>
      <c r="K11" s="80">
        <f>K6+K9-K10</f>
        <v>15677.88917372722</v>
      </c>
      <c r="L11" s="80">
        <f>L6+L9-L10</f>
        <v>9677.889173727224</v>
      </c>
      <c r="M11" s="80">
        <f>M6+M9-M10</f>
        <v>15677.88917372722</v>
      </c>
      <c r="N11" s="80">
        <f>N6+N9-N10</f>
        <v>15180.44411657683</v>
      </c>
      <c r="O11" s="80">
        <f>O6+O9-O10</f>
        <v>22157.88917372722</v>
      </c>
      <c r="P11" s="80">
        <f>P6+P9-P10</f>
        <v>-16244.11082627278</v>
      </c>
      <c r="Q11" s="80">
        <f>Q6+Q9-Q10</f>
        <v>-7002.110826272779</v>
      </c>
      <c r="R11" s="80">
        <f>R6+R9-R10</f>
        <v>-502.1108262727794</v>
      </c>
      <c r="S11" s="80">
        <f>S6+S9-S10</f>
        <v>1297.889173727221</v>
      </c>
      <c r="T11" s="80">
        <f>T6+T9-T10</f>
        <v>5000.444116576829</v>
      </c>
      <c r="U11" s="80">
        <f>U6+U9-U10</f>
        <v>-18599.79066063068</v>
      </c>
      <c r="V11" s="80">
        <f>V6+V9-V10</f>
        <v>23177.88917372722</v>
      </c>
      <c r="W11" s="80">
        <f>W6+W9-W10</f>
        <v>28177.88917372722</v>
      </c>
      <c r="X11" s="80">
        <f>X6+X9-X10</f>
        <v>22177.88917372722</v>
      </c>
      <c r="Y11" s="80">
        <f>Y6+Y9-Y10</f>
        <v>28177.88917372722</v>
      </c>
      <c r="Z11" s="85">
        <f>SUMIF($B$13:$Y$13,"Yes",B11:Y11)</f>
        <v>-204557.7882261736</v>
      </c>
      <c r="AA11" s="80">
        <f>SUM(B11:M11)</f>
        <v>-218649.899863932</v>
      </c>
      <c r="AB11" s="46">
        <f>SUM(B11:Y11)</f>
        <v>-115649.7997278641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23532.8947368421</v>
      </c>
      <c r="C24" s="36">
        <f>IFERROR(Calculations!$P14/12,"")</f>
        <v>23532.8947368421</v>
      </c>
      <c r="D24" s="36">
        <f>IFERROR(Calculations!$P14/12,"")</f>
        <v>23532.8947368421</v>
      </c>
      <c r="E24" s="36">
        <f>IFERROR(Calculations!$P14/12,"")</f>
        <v>23532.8947368421</v>
      </c>
      <c r="F24" s="36">
        <f>IFERROR(Calculations!$P14/12,"")</f>
        <v>23532.8947368421</v>
      </c>
      <c r="G24" s="36">
        <f>IFERROR(Calculations!$P14/12,"")</f>
        <v>23532.8947368421</v>
      </c>
      <c r="H24" s="36">
        <f>IFERROR(Calculations!$P14/12,"")</f>
        <v>23532.8947368421</v>
      </c>
      <c r="I24" s="36">
        <f>IFERROR(Calculations!$P14/12,"")</f>
        <v>23532.8947368421</v>
      </c>
      <c r="J24" s="36">
        <f>IFERROR(Calculations!$P14/12,"")</f>
        <v>23532.8947368421</v>
      </c>
      <c r="K24" s="36">
        <f>IFERROR(Calculations!$P14/12,"")</f>
        <v>23532.8947368421</v>
      </c>
      <c r="L24" s="36">
        <f>IFERROR(Calculations!$P14/12,"")</f>
        <v>23532.8947368421</v>
      </c>
      <c r="M24" s="36">
        <f>IFERROR(Calculations!$P14/12,"")</f>
        <v>23532.8947368421</v>
      </c>
      <c r="N24" s="36">
        <f>IFERROR(Calculations!$P14/12,"")</f>
        <v>23532.8947368421</v>
      </c>
      <c r="O24" s="36">
        <f>IFERROR(Calculations!$P14/12,"")</f>
        <v>23532.8947368421</v>
      </c>
      <c r="P24" s="36">
        <f>IFERROR(Calculations!$P14/12,"")</f>
        <v>23532.8947368421</v>
      </c>
      <c r="Q24" s="36">
        <f>IFERROR(Calculations!$P14/12,"")</f>
        <v>23532.8947368421</v>
      </c>
      <c r="R24" s="36">
        <f>IFERROR(Calculations!$P14/12,"")</f>
        <v>23532.8947368421</v>
      </c>
      <c r="S24" s="36">
        <f>IFERROR(Calculations!$P14/12,"")</f>
        <v>23532.8947368421</v>
      </c>
      <c r="T24" s="36">
        <f>IFERROR(Calculations!$P14/12,"")</f>
        <v>23532.8947368421</v>
      </c>
      <c r="U24" s="36">
        <f>IFERROR(Calculations!$P14/12,"")</f>
        <v>23532.8947368421</v>
      </c>
      <c r="V24" s="36">
        <f>IFERROR(Calculations!$P14/12,"")</f>
        <v>23532.8947368421</v>
      </c>
      <c r="W24" s="36">
        <f>IFERROR(Calculations!$P14/12,"")</f>
        <v>23532.8947368421</v>
      </c>
      <c r="X24" s="36">
        <f>IFERROR(Calculations!$P14/12,"")</f>
        <v>23532.8947368421</v>
      </c>
      <c r="Y24" s="36">
        <f>IFERROR(Calculations!$P14/12,"")</f>
        <v>23532.8947368421</v>
      </c>
      <c r="Z24" s="36">
        <f>SUMIF($B$13:$Y$13,"Yes",B24:Y24)</f>
        <v>376526.3157894735</v>
      </c>
      <c r="AA24" s="36">
        <f>SUM(B24:M24)</f>
        <v>282394.7368421052</v>
      </c>
      <c r="AB24" s="46">
        <f>SUM(B24:Y24)</f>
        <v>564789.4736842102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480000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53532.89473684211</v>
      </c>
      <c r="C30" s="19">
        <f>SUM(C18:C29)</f>
        <v>53532.89473684211</v>
      </c>
      <c r="D30" s="19">
        <f>SUM(D18:D29)</f>
        <v>53532.89473684211</v>
      </c>
      <c r="E30" s="19">
        <f>SUM(E18:E29)</f>
        <v>53532.89473684211</v>
      </c>
      <c r="F30" s="19">
        <f>SUM(F18:F29)</f>
        <v>53532.89473684211</v>
      </c>
      <c r="G30" s="19">
        <f>SUM(G18:G29)</f>
        <v>53532.89473684211</v>
      </c>
      <c r="H30" s="19">
        <f>SUM(H18:H29)</f>
        <v>53532.89473684211</v>
      </c>
      <c r="I30" s="19">
        <f>SUM(I18:I29)</f>
        <v>53532.89473684211</v>
      </c>
      <c r="J30" s="19">
        <f>SUM(J18:J29)</f>
        <v>53532.89473684211</v>
      </c>
      <c r="K30" s="19">
        <f>SUM(K18:K29)</f>
        <v>53532.89473684211</v>
      </c>
      <c r="L30" s="19">
        <f>SUM(L18:L29)</f>
        <v>53532.89473684211</v>
      </c>
      <c r="M30" s="19">
        <f>SUM(M18:M29)</f>
        <v>53532.89473684211</v>
      </c>
      <c r="N30" s="19">
        <f>SUM(N18:N29)</f>
        <v>53532.89473684211</v>
      </c>
      <c r="O30" s="19">
        <f>SUM(O18:O29)</f>
        <v>53532.89473684211</v>
      </c>
      <c r="P30" s="19">
        <f>SUM(P18:P29)</f>
        <v>53532.89473684211</v>
      </c>
      <c r="Q30" s="19">
        <f>SUM(Q18:Q29)</f>
        <v>53532.89473684211</v>
      </c>
      <c r="R30" s="19">
        <f>SUM(R18:R29)</f>
        <v>53532.89473684211</v>
      </c>
      <c r="S30" s="19">
        <f>SUM(S18:S29)</f>
        <v>53532.89473684211</v>
      </c>
      <c r="T30" s="19">
        <f>SUM(T18:T29)</f>
        <v>53532.89473684211</v>
      </c>
      <c r="U30" s="19">
        <f>SUM(U18:U29)</f>
        <v>53532.89473684211</v>
      </c>
      <c r="V30" s="19">
        <f>SUM(V18:V29)</f>
        <v>53532.89473684211</v>
      </c>
      <c r="W30" s="19">
        <f>SUM(W18:W29)</f>
        <v>53532.89473684211</v>
      </c>
      <c r="X30" s="19">
        <f>SUM(X18:X29)</f>
        <v>53532.89473684211</v>
      </c>
      <c r="Y30" s="19">
        <f>SUM(Y18:Y29)</f>
        <v>53532.89473684211</v>
      </c>
      <c r="Z30" s="19">
        <f>SUMIF($B$13:$Y$13,"Yes",B30:Y30)</f>
        <v>856526.3157894741</v>
      </c>
      <c r="AA30" s="19">
        <f>SUM(B30:M30)</f>
        <v>642394.7368421055</v>
      </c>
      <c r="AB30" s="19">
        <f>SUM(B30:Y30)</f>
        <v>1284789.473684211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9242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5000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9242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5000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23484</v>
      </c>
      <c r="AA42" s="36">
        <f>SUM(B42:M42)</f>
        <v>14242</v>
      </c>
      <c r="AB42" s="36">
        <f>SUM(B42:Y42)</f>
        <v>28484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4242.000000000001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4242.000000000001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8484.000000000002</v>
      </c>
      <c r="AA43" s="36">
        <f>SUM(B43:M43)</f>
        <v>4242.000000000001</v>
      </c>
      <c r="AB43" s="36">
        <f>SUM(B43:Y43)</f>
        <v>8484.000000000002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5000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5000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5000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5000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6000</v>
      </c>
      <c r="G48" s="36">
        <f>S48</f>
        <v>4200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6000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6000</v>
      </c>
      <c r="S48" s="46">
        <f>SUM(S49:S53)</f>
        <v>4200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6000</v>
      </c>
      <c r="Y48" s="46">
        <f>SUM(Y49:Y53)</f>
        <v>0</v>
      </c>
      <c r="Z48" s="46">
        <f>SUMIF($B$13:$Y$13,"Yes",B48:Y48)</f>
        <v>16200</v>
      </c>
      <c r="AA48" s="46">
        <f>SUM(B48:M48)</f>
        <v>16200</v>
      </c>
      <c r="AB48" s="46">
        <f>SUM(B48:Y48)</f>
        <v>32400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4200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4200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4200</v>
      </c>
      <c r="AA49" s="46">
        <f>SUM(B49:M49)</f>
        <v>4200</v>
      </c>
      <c r="AB49" s="46">
        <f>SUM(B49:Y49)</f>
        <v>8400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6000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6000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6000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6000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497.4450571503922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497.4450571503922</v>
      </c>
      <c r="I54" s="36">
        <f>U54</f>
        <v>30577.67983435791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497.4450571503922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497.4450571503922</v>
      </c>
      <c r="U54" s="46">
        <f>SUM(U55:U59)</f>
        <v>30577.67983435791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32070.01500580908</v>
      </c>
      <c r="AA54" s="46">
        <f>SUM(B54:M54)</f>
        <v>31572.56994865869</v>
      </c>
      <c r="AB54" s="46">
        <f>SUM(B54:Y54)</f>
        <v>63145.13989731738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30577.67983435791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30577.67983435791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30577.67983435791</v>
      </c>
      <c r="AA55" s="46">
        <f>SUM(B55:M55)</f>
        <v>30577.67983435791</v>
      </c>
      <c r="AB55" s="46">
        <f>SUM(B55:Y55)</f>
        <v>61155.35966871581</v>
      </c>
    </row>
    <row r="56" spans="1:30" hidden="true" outlineLevel="1">
      <c r="A56" s="181" t="str">
        <f>Calculations!$A$5</f>
        <v>Beans</v>
      </c>
      <c r="B56" s="36">
        <f>N56</f>
        <v>497.4450571503922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497.4450571503922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497.4450571503922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497.4450571503922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1492.335171451177</v>
      </c>
      <c r="AA56" s="46">
        <f>SUM(B56:M56)</f>
        <v>994.8901143007844</v>
      </c>
      <c r="AB56" s="46">
        <f>SUM(B56:Y56)</f>
        <v>1989.780228601569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6480</v>
      </c>
      <c r="C66" s="36">
        <f>O66</f>
        <v>0</v>
      </c>
      <c r="D66" s="36">
        <f>P66</f>
        <v>29160</v>
      </c>
      <c r="E66" s="36">
        <f>Q66</f>
        <v>29160</v>
      </c>
      <c r="F66" s="36">
        <f>R66</f>
        <v>29160</v>
      </c>
      <c r="G66" s="36">
        <f>S66</f>
        <v>29160</v>
      </c>
      <c r="H66" s="36">
        <f>T66</f>
        <v>29160</v>
      </c>
      <c r="I66" s="36">
        <f>U66</f>
        <v>22680</v>
      </c>
      <c r="J66" s="36">
        <f>V66</f>
        <v>6480</v>
      </c>
      <c r="K66" s="36">
        <f>W66</f>
        <v>6480</v>
      </c>
      <c r="L66" s="36">
        <f>X66</f>
        <v>6480</v>
      </c>
      <c r="M66" s="36">
        <f>Y66</f>
        <v>6480</v>
      </c>
      <c r="N66" s="46">
        <f>SUM(N67:N71)</f>
        <v>6480</v>
      </c>
      <c r="O66" s="46">
        <f>SUM(O67:O71)</f>
        <v>0</v>
      </c>
      <c r="P66" s="46">
        <f>SUM(P67:P71)</f>
        <v>29160</v>
      </c>
      <c r="Q66" s="46">
        <f>SUM(Q67:Q71)</f>
        <v>29160</v>
      </c>
      <c r="R66" s="46">
        <f>SUM(R67:R71)</f>
        <v>29160</v>
      </c>
      <c r="S66" s="46">
        <f>SUM(S67:S71)</f>
        <v>29160</v>
      </c>
      <c r="T66" s="46">
        <f>SUM(T67:T71)</f>
        <v>29160</v>
      </c>
      <c r="U66" s="46">
        <f>SUM(U67:U71)</f>
        <v>22680</v>
      </c>
      <c r="V66" s="46">
        <f>SUM(V67:V71)</f>
        <v>6480</v>
      </c>
      <c r="W66" s="46">
        <f>SUM(W67:W71)</f>
        <v>6480</v>
      </c>
      <c r="X66" s="46">
        <f>SUM(X67:X71)</f>
        <v>6480</v>
      </c>
      <c r="Y66" s="46">
        <f>SUM(Y67:Y71)</f>
        <v>6480</v>
      </c>
      <c r="Z66" s="46">
        <f>SUMIF($B$13:$Y$13,"Yes",B66:Y66)</f>
        <v>265680</v>
      </c>
      <c r="AA66" s="46">
        <f>SUM(B66:M66)</f>
        <v>200880</v>
      </c>
      <c r="AB66" s="46">
        <f>SUM(B66:Y66)</f>
        <v>401760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22680</v>
      </c>
      <c r="E67" s="36">
        <f>Q67</f>
        <v>22680</v>
      </c>
      <c r="F67" s="36">
        <f>R67</f>
        <v>22680</v>
      </c>
      <c r="G67" s="36">
        <f>S67</f>
        <v>22680</v>
      </c>
      <c r="H67" s="36">
        <f>T67</f>
        <v>22680</v>
      </c>
      <c r="I67" s="36">
        <f>U67</f>
        <v>22680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22680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22680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22680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22680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22680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22680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181440</v>
      </c>
      <c r="AA67" s="46">
        <f>SUM(B67:M67)</f>
        <v>136080</v>
      </c>
      <c r="AB67" s="46">
        <f>SUM(B67:Y67)</f>
        <v>272160</v>
      </c>
    </row>
    <row r="68" spans="1:30" hidden="true" outlineLevel="1">
      <c r="A68" s="181" t="str">
        <f>Calculations!$A$5</f>
        <v>Beans</v>
      </c>
      <c r="B68" s="36">
        <f>N68</f>
        <v>6480</v>
      </c>
      <c r="C68" s="36">
        <f>O68</f>
        <v>0</v>
      </c>
      <c r="D68" s="36">
        <f>P68</f>
        <v>6480</v>
      </c>
      <c r="E68" s="36">
        <f>Q68</f>
        <v>6480</v>
      </c>
      <c r="F68" s="36">
        <f>R68</f>
        <v>6480</v>
      </c>
      <c r="G68" s="36">
        <f>S68</f>
        <v>6480</v>
      </c>
      <c r="H68" s="36">
        <f>T68</f>
        <v>6480</v>
      </c>
      <c r="I68" s="36">
        <f>U68</f>
        <v>0</v>
      </c>
      <c r="J68" s="36">
        <f>V68</f>
        <v>6480</v>
      </c>
      <c r="K68" s="36">
        <f>W68</f>
        <v>6480</v>
      </c>
      <c r="L68" s="36">
        <f>X68</f>
        <v>6480</v>
      </c>
      <c r="M68" s="36">
        <f>Y68</f>
        <v>6480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6480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6480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6480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6480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6480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6480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6480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6480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6480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6480</v>
      </c>
      <c r="Z68" s="46">
        <f>SUMIF($B$13:$Y$13,"Yes",B68:Y68)</f>
        <v>84240</v>
      </c>
      <c r="AA68" s="46">
        <f>SUM(B68:M68)</f>
        <v>64800</v>
      </c>
      <c r="AB68" s="46">
        <f>SUM(B68:Y68)</f>
        <v>129600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48666.66666666666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5333.333333333333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32000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80000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65000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65000</v>
      </c>
      <c r="AA80" s="46">
        <f>SUM(B80:M80)</f>
        <v>65000</v>
      </c>
      <c r="AB80" s="46">
        <f>SUM(B80:Y80)</f>
        <v>65000</v>
      </c>
    </row>
    <row r="81" spans="1:30">
      <c r="A81" s="43" t="s">
        <v>51</v>
      </c>
      <c r="B81" s="46">
        <f>(SUM($AA$18:$AA$29)-SUM($AA$36,$AA$42,$AA$48,$AA$54,$AA$60,$AA$66,$AA$72:$AA$79))*Parameters!$B$37/12</f>
        <v>8500.005563114883</v>
      </c>
      <c r="C81" s="46">
        <f>(SUM($AA$18:$AA$29)-SUM($AA$36,$AA$42,$AA$48,$AA$54,$AA$60,$AA$66,$AA$72:$AA$79))*Parameters!$B$37/12</f>
        <v>8500.005563114883</v>
      </c>
      <c r="D81" s="46">
        <f>(SUM($AA$18:$AA$29)-SUM($AA$36,$AA$42,$AA$48,$AA$54,$AA$60,$AA$66,$AA$72:$AA$79))*Parameters!$B$37/12</f>
        <v>8500.005563114883</v>
      </c>
      <c r="E81" s="46">
        <f>(SUM($AA$18:$AA$29)-SUM($AA$36,$AA$42,$AA$48,$AA$54,$AA$60,$AA$66,$AA$72:$AA$79))*Parameters!$B$37/12</f>
        <v>8500.005563114883</v>
      </c>
      <c r="F81" s="46">
        <f>(SUM($AA$18:$AA$29)-SUM($AA$36,$AA$42,$AA$48,$AA$54,$AA$60,$AA$66,$AA$72:$AA$79))*Parameters!$B$37/12</f>
        <v>8500.005563114883</v>
      </c>
      <c r="G81" s="46">
        <f>(SUM($AA$18:$AA$29)-SUM($AA$36,$AA$42,$AA$48,$AA$54,$AA$60,$AA$66,$AA$72:$AA$79))*Parameters!$B$37/12</f>
        <v>8500.005563114883</v>
      </c>
      <c r="H81" s="46">
        <f>(SUM($AA$18:$AA$29)-SUM($AA$36,$AA$42,$AA$48,$AA$54,$AA$60,$AA$66,$AA$72:$AA$79))*Parameters!$B$37/12</f>
        <v>8500.005563114883</v>
      </c>
      <c r="I81" s="46">
        <f>(SUM($AA$18:$AA$29)-SUM($AA$36,$AA$42,$AA$48,$AA$54,$AA$60,$AA$66,$AA$72:$AA$79))*Parameters!$B$37/12</f>
        <v>8500.005563114883</v>
      </c>
      <c r="J81" s="46">
        <f>(SUM($AA$18:$AA$29)-SUM($AA$36,$AA$42,$AA$48,$AA$54,$AA$60,$AA$66,$AA$72:$AA$79))*Parameters!$B$37/12</f>
        <v>8500.005563114883</v>
      </c>
      <c r="K81" s="46">
        <f>(SUM($AA$18:$AA$29)-SUM($AA$36,$AA$42,$AA$48,$AA$54,$AA$60,$AA$66,$AA$72:$AA$79))*Parameters!$B$37/12</f>
        <v>8500.005563114883</v>
      </c>
      <c r="L81" s="46">
        <f>(SUM($AA$18:$AA$29)-SUM($AA$36,$AA$42,$AA$48,$AA$54,$AA$60,$AA$66,$AA$72:$AA$79))*Parameters!$B$37/12</f>
        <v>8500.005563114883</v>
      </c>
      <c r="M81" s="46">
        <f>(SUM($AA$18:$AA$29)-SUM($AA$36,$AA$42,$AA$48,$AA$54,$AA$60,$AA$66,$AA$72:$AA$79))*Parameters!$B$37/12</f>
        <v>8500.005563114883</v>
      </c>
      <c r="N81" s="46">
        <f>(SUM($AA$18:$AA$29)-SUM($AA$36,$AA$42,$AA$48,$AA$54,$AA$60,$AA$66,$AA$72:$AA$79))*Parameters!$B$37/12</f>
        <v>8500.005563114883</v>
      </c>
      <c r="O81" s="46">
        <f>(SUM($AA$18:$AA$29)-SUM($AA$36,$AA$42,$AA$48,$AA$54,$AA$60,$AA$66,$AA$72:$AA$79))*Parameters!$B$37/12</f>
        <v>8500.005563114883</v>
      </c>
      <c r="P81" s="46">
        <f>(SUM($AA$18:$AA$29)-SUM($AA$36,$AA$42,$AA$48,$AA$54,$AA$60,$AA$66,$AA$72:$AA$79))*Parameters!$B$37/12</f>
        <v>8500.005563114883</v>
      </c>
      <c r="Q81" s="46">
        <f>(SUM($AA$18:$AA$29)-SUM($AA$36,$AA$42,$AA$48,$AA$54,$AA$60,$AA$66,$AA$72:$AA$79))*Parameters!$B$37/12</f>
        <v>8500.005563114883</v>
      </c>
      <c r="R81" s="46">
        <f>(SUM($AA$18:$AA$29)-SUM($AA$36,$AA$42,$AA$48,$AA$54,$AA$60,$AA$66,$AA$72:$AA$79))*Parameters!$B$37/12</f>
        <v>8500.005563114883</v>
      </c>
      <c r="S81" s="46">
        <f>(SUM($AA$18:$AA$29)-SUM($AA$36,$AA$42,$AA$48,$AA$54,$AA$60,$AA$66,$AA$72:$AA$79))*Parameters!$B$37/12</f>
        <v>8500.005563114883</v>
      </c>
      <c r="T81" s="46">
        <f>(SUM($AA$18:$AA$29)-SUM($AA$36,$AA$42,$AA$48,$AA$54,$AA$60,$AA$66,$AA$72:$AA$79))*Parameters!$B$37/12</f>
        <v>8500.005563114883</v>
      </c>
      <c r="U81" s="46">
        <f>(SUM($AA$18:$AA$29)-SUM($AA$36,$AA$42,$AA$48,$AA$54,$AA$60,$AA$66,$AA$72:$AA$79))*Parameters!$B$37/12</f>
        <v>8500.005563114883</v>
      </c>
      <c r="V81" s="46">
        <f>(SUM($AA$18:$AA$29)-SUM($AA$36,$AA$42,$AA$48,$AA$54,$AA$60,$AA$66,$AA$72:$AA$79))*Parameters!$B$37/12</f>
        <v>8500.005563114883</v>
      </c>
      <c r="W81" s="46">
        <f>(SUM($AA$18:$AA$29)-SUM($AA$36,$AA$42,$AA$48,$AA$54,$AA$60,$AA$66,$AA$72:$AA$79))*Parameters!$B$37/12</f>
        <v>8500.005563114883</v>
      </c>
      <c r="X81" s="46">
        <f>(SUM($AA$18:$AA$29)-SUM($AA$36,$AA$42,$AA$48,$AA$54,$AA$60,$AA$66,$AA$72:$AA$79))*Parameters!$B$37/12</f>
        <v>8500.005563114883</v>
      </c>
      <c r="Y81" s="46">
        <f>(SUM($AA$18:$AA$29)-SUM($AA$36,$AA$42,$AA$48,$AA$54,$AA$60,$AA$66,$AA$72:$AA$79))*Parameters!$B$37/12</f>
        <v>8500.005563114883</v>
      </c>
      <c r="Z81" s="46">
        <f>SUMIF($B$13:$Y$13,"Yes",B81:Y81)</f>
        <v>136000.0890098381</v>
      </c>
      <c r="AA81" s="46">
        <f>SUM(B81:M81)</f>
        <v>102000.0667573786</v>
      </c>
      <c r="AB81" s="46">
        <f>SUM(B81:Y81)</f>
        <v>204000.1335147572</v>
      </c>
    </row>
    <row r="82" spans="1:30">
      <c r="A82" s="16" t="s">
        <v>52</v>
      </c>
      <c r="B82" s="46">
        <f>SUM(B83:B87)</f>
        <v>319150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319150</v>
      </c>
      <c r="AA82" s="46">
        <f>SUM(B82:M82)</f>
        <v>319150</v>
      </c>
      <c r="AB82" s="46">
        <f>SUM(B82:Y82)</f>
        <v>319150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307666.6666666667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307666.6666666667</v>
      </c>
      <c r="AA83" s="46">
        <f>SUM(B83:M83)</f>
        <v>307666.6666666667</v>
      </c>
      <c r="AB83" s="46">
        <f>SUM(B83:Y83)</f>
        <v>307666.6666666667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11483.33333333333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11483.33333333333</v>
      </c>
      <c r="AA84" s="46">
        <f>SUM(B84:M84)</f>
        <v>11483.33333333333</v>
      </c>
      <c r="AB84" s="46">
        <f>SUM(B84:Y84)</f>
        <v>11483.33333333333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345002.4506202653</v>
      </c>
      <c r="C88" s="19">
        <f>SUM(C72:C82,C66,C60,C54,C48,C42,C36)</f>
        <v>18875.00556311488</v>
      </c>
      <c r="D88" s="19">
        <f>SUM(D72:D82,D66,D60,D54,D48,D42,D36)</f>
        <v>57277.00556311489</v>
      </c>
      <c r="E88" s="19">
        <f>SUM(E72:E82,E66,E60,E54,E48,E42,E36)</f>
        <v>48035.00556311489</v>
      </c>
      <c r="F88" s="19">
        <f>SUM(F72:F82,F66,F60,F54,F48,F42,F36)</f>
        <v>54035.00556311489</v>
      </c>
      <c r="G88" s="19">
        <f>SUM(G72:G82,G66,G60,G54,G48,G42,G36)</f>
        <v>52235.00556311489</v>
      </c>
      <c r="H88" s="19">
        <f>SUM(H72:H82,H66,H60,H54,H48,H42,H36)</f>
        <v>48532.45062026528</v>
      </c>
      <c r="I88" s="19">
        <f>SUM(I72:I82,I66,I60,I54,I48,I42,I36)</f>
        <v>72132.68539747279</v>
      </c>
      <c r="J88" s="19">
        <f>SUM(J72:J82,J66,J60,J54,J48,J42,J36)</f>
        <v>95355.00556311489</v>
      </c>
      <c r="K88" s="19">
        <f>SUM(K72:K82,K66,K60,K54,K48,K42,K36)</f>
        <v>25355.00556311488</v>
      </c>
      <c r="L88" s="19">
        <f>SUM(L72:L82,L66,L60,L54,L48,L42,L36)</f>
        <v>31355.00556311488</v>
      </c>
      <c r="M88" s="19">
        <f>SUM(M72:M82,M66,M60,M54,M48,M42,M36)</f>
        <v>25355.00556311488</v>
      </c>
      <c r="N88" s="19">
        <f>SUM(N72:N82,N66,N60,N54,N48,N42,N36)</f>
        <v>25852.45062026527</v>
      </c>
      <c r="O88" s="19">
        <f>SUM(O72:O82,O66,O60,O54,O48,O42,O36)</f>
        <v>18875.00556311488</v>
      </c>
      <c r="P88" s="19">
        <f>SUM(P72:P82,P66,P60,P54,P48,P42,P36)</f>
        <v>57277.00556311489</v>
      </c>
      <c r="Q88" s="19">
        <f>SUM(Q72:Q82,Q66,Q60,Q54,Q48,Q42,Q36)</f>
        <v>48035.00556311489</v>
      </c>
      <c r="R88" s="19">
        <f>SUM(R72:R82,R66,R60,R54,R48,R42,R36)</f>
        <v>54035.00556311489</v>
      </c>
      <c r="S88" s="19">
        <f>SUM(S72:S82,S66,S60,S54,S48,S42,S36)</f>
        <v>52235.00556311489</v>
      </c>
      <c r="T88" s="19">
        <f>SUM(T72:T82,T66,T60,T54,T48,T42,T36)</f>
        <v>48532.45062026528</v>
      </c>
      <c r="U88" s="19">
        <f>SUM(U72:U82,U66,U60,U54,U48,U42,U36)</f>
        <v>72132.68539747279</v>
      </c>
      <c r="V88" s="19">
        <f>SUM(V72:V82,V66,V60,V54,V48,V42,V36)</f>
        <v>30355.00556311488</v>
      </c>
      <c r="W88" s="19">
        <f>SUM(W72:W82,W66,W60,W54,W48,W42,W36)</f>
        <v>25355.00556311488</v>
      </c>
      <c r="X88" s="19">
        <f>SUM(X72:X82,X66,X60,X54,X48,X42,X36)</f>
        <v>31355.00556311488</v>
      </c>
      <c r="Y88" s="19">
        <f>SUM(Y72:Y82,Y66,Y60,Y54,Y48,Y42,Y36)</f>
        <v>25355.00556311488</v>
      </c>
      <c r="Z88" s="19">
        <f>SUMIF($B$13:$Y$13,"Yes",B88:Y88)</f>
        <v>1023584.104015647</v>
      </c>
      <c r="AA88" s="19">
        <f>SUM(B88:M88)</f>
        <v>873544.6367060374</v>
      </c>
      <c r="AB88" s="19">
        <f>SUM(B88:Y88)</f>
        <v>1362939.273412074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5400000</v>
      </c>
    </row>
    <row r="98" spans="1:30">
      <c r="A98" t="s">
        <v>64</v>
      </c>
      <c r="B98" s="36">
        <f>IF(Inputs!B44="Yes",Inputs!B45,0)</f>
        <v>650000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7565000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269650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424650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7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2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4</v>
      </c>
      <c r="D19" s="145">
        <v>2</v>
      </c>
      <c r="E19" s="20"/>
      <c r="F19" s="145" t="s">
        <v>92</v>
      </c>
      <c r="G19" s="20"/>
      <c r="H19" s="20"/>
      <c r="I19" s="145" t="s">
        <v>110</v>
      </c>
      <c r="J19" s="145">
        <v>30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30000</v>
      </c>
    </row>
    <row r="31" spans="1:48">
      <c r="A31" s="5" t="s">
        <v>117</v>
      </c>
      <c r="B31" s="158">
        <v>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 t="s">
        <v>123</v>
      </c>
      <c r="B35" s="159">
        <v>65000</v>
      </c>
      <c r="C35" s="145" t="s">
        <v>124</v>
      </c>
      <c r="D35" s="49">
        <f>IFERROR(VLOOKUP(C35,Parameters!$C$79:$D$90,2,0),"")</f>
        <v>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650000</v>
      </c>
    </row>
    <row r="46" spans="1:48" customHeight="1" ht="30">
      <c r="A46" s="57" t="s">
        <v>133</v>
      </c>
      <c r="B46" s="161">
        <v>250000</v>
      </c>
    </row>
    <row r="47" spans="1:48" customHeight="1" ht="30">
      <c r="A47" s="57" t="s">
        <v>134</v>
      </c>
      <c r="B47" s="161">
        <v>250000</v>
      </c>
    </row>
    <row r="48" spans="1:48" customHeight="1" ht="30">
      <c r="A48" s="57" t="s">
        <v>135</v>
      </c>
      <c r="B48" s="161">
        <v>150000</v>
      </c>
    </row>
    <row r="49" spans="1:48" customHeight="1" ht="30">
      <c r="A49" s="57" t="s">
        <v>136</v>
      </c>
      <c r="B49" s="161">
        <v>65000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2600000</v>
      </c>
      <c r="B56" s="159">
        <v>260000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100000</v>
      </c>
      <c r="B57" s="157">
        <v>9650</v>
      </c>
      <c r="C57" s="164" t="s">
        <v>148</v>
      </c>
      <c r="D57" s="165" t="s">
        <v>149</v>
      </c>
      <c r="E57" s="165" t="s">
        <v>92</v>
      </c>
      <c r="F57" s="165" t="s">
        <v>150</v>
      </c>
    </row>
    <row r="58" spans="1:48">
      <c r="A58" s="157">
        <v>1190000</v>
      </c>
      <c r="B58" s="157">
        <v>0</v>
      </c>
      <c r="C58" s="164" t="s">
        <v>151</v>
      </c>
      <c r="D58" s="165" t="s">
        <v>152</v>
      </c>
      <c r="E58" s="165" t="s">
        <v>92</v>
      </c>
      <c r="F58" s="165" t="s">
        <v>153</v>
      </c>
    </row>
    <row r="59" spans="1:48">
      <c r="A59" s="157">
        <v>2800</v>
      </c>
      <c r="B59" s="157">
        <v>0</v>
      </c>
      <c r="C59" s="164" t="s">
        <v>154</v>
      </c>
      <c r="D59" s="165" t="s">
        <v>155</v>
      </c>
      <c r="E59" s="165" t="s">
        <v>93</v>
      </c>
      <c r="F59" s="165" t="s">
        <v>156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158</v>
      </c>
      <c r="C65" s="10" t="s">
        <v>159</v>
      </c>
    </row>
    <row r="66" spans="1:48">
      <c r="A66" s="142" t="s">
        <v>160</v>
      </c>
      <c r="B66" s="159">
        <v>107800</v>
      </c>
      <c r="C66" s="163">
        <v>15627</v>
      </c>
      <c r="D66" s="49">
        <f>INDEX(Parameters!$D$79:$D$90,MATCH(Inputs!A66,Parameters!$C$79:$C$90,0))</f>
        <v>6</v>
      </c>
    </row>
    <row r="67" spans="1:48">
      <c r="A67" s="143" t="s">
        <v>161</v>
      </c>
      <c r="B67" s="157">
        <v>368530</v>
      </c>
      <c r="C67" s="165">
        <v>354719</v>
      </c>
      <c r="D67" s="49">
        <f>INDEX(Parameters!$D$79:$D$90,MATCH(Inputs!A67,Parameters!$C$79:$C$90,0))</f>
        <v>5</v>
      </c>
    </row>
    <row r="68" spans="1:48">
      <c r="A68" s="143" t="s">
        <v>162</v>
      </c>
      <c r="B68" s="157">
        <v>37538</v>
      </c>
      <c r="C68" s="165">
        <v>31192</v>
      </c>
      <c r="D68" s="49">
        <f>INDEX(Parameters!$D$79:$D$90,MATCH(Inputs!A68,Parameters!$C$79:$C$90,0))</f>
        <v>4</v>
      </c>
    </row>
    <row r="69" spans="1:48">
      <c r="A69" s="143" t="s">
        <v>163</v>
      </c>
      <c r="B69" s="157">
        <v>52426</v>
      </c>
      <c r="C69" s="165">
        <v>51237</v>
      </c>
      <c r="D69" s="49">
        <f>INDEX(Parameters!$D$79:$D$90,MATCH(Inputs!A69,Parameters!$C$79:$C$90,0))</f>
        <v>3</v>
      </c>
    </row>
    <row r="70" spans="1:48">
      <c r="A70" s="143" t="s">
        <v>124</v>
      </c>
      <c r="B70" s="157">
        <v>41859</v>
      </c>
      <c r="C70" s="165">
        <v>62877</v>
      </c>
      <c r="D70" s="49">
        <f>INDEX(Parameters!$D$79:$D$90,MATCH(Inputs!A70,Parameters!$C$79:$C$90,0))</f>
        <v>2</v>
      </c>
    </row>
    <row r="71" spans="1:48">
      <c r="A71" s="144" t="s">
        <v>164</v>
      </c>
      <c r="B71" s="158">
        <v>121013</v>
      </c>
      <c r="C71" s="167">
        <v>128947</v>
      </c>
      <c r="D71" s="49">
        <f>INDEX(Parameters!$D$79:$D$90,MATCH(Inputs!A71,Parameters!$C$79:$C$90,0))</f>
        <v>1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7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150000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15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7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6647.321703121284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2121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15288.83991717895</v>
      </c>
      <c r="AB4" s="33">
        <f>H4*IFERROR(INDEX(Parameters!$A$3:$AI$17,MATCH(Calculations!A4,Parameters!$A$3:$A$17,0),MATCH(Parameters!$O$3,Parameters!$A$3:$AI$3,0)),AVERAGE(Parameters!$O$4:$O$17))*(1-Inputs!$B$25/100)</f>
        <v>75600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1193.868137160941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497.4450571503922</v>
      </c>
      <c r="AB5" s="34">
        <f>H5*IFERROR(INDEX(Parameters!$A$3:$AI$17,MATCH(Calculations!A5,Parameters!$A$3:$A$17,0),MATCH(Parameters!$O$3,Parameters!$A$3:$AI$3,0)),AVERAGE(Parameters!$O$4:$O$17))*(1-Inputs!$B$25/100)</f>
        <v>36000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282394.7368421052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2600000</v>
      </c>
      <c r="B23" s="75">
        <f>SUM(C23:D23)</f>
        <v>1847666.666666667</v>
      </c>
      <c r="C23" s="75">
        <f>IF(Inputs!B56&gt;0,(Inputs!A56-Inputs!B56)/(DATE(YEAR(Inputs!$B$76),MONTH(Inputs!$B$76),DAY(Inputs!$B$76))-DATE(YEAR(Inputs!C56),MONTH(Inputs!C56),DAY(Inputs!C56)))*30,0)</f>
        <v>1800000</v>
      </c>
      <c r="D23" s="75">
        <f>IF(Inputs!B56&gt;0,Inputs!A56*0.22/12,0)</f>
        <v>47666.66666666666</v>
      </c>
      <c r="E23" s="75">
        <f>IFERROR(ROUNDUP(Inputs!B56/C23,0),0)</f>
        <v>1</v>
      </c>
    </row>
    <row r="24" spans="1:52">
      <c r="A24" s="46">
        <f>Inputs!A57</f>
        <v>100000</v>
      </c>
      <c r="B24" s="46">
        <f>SUM(C24:D24)</f>
        <v>9712.693798449613</v>
      </c>
      <c r="C24" s="46">
        <f>IF(Inputs!B57&gt;0,(Inputs!A57-Inputs!B57)/(DATE(YEAR(Inputs!$B$76),MONTH(Inputs!$B$76),DAY(Inputs!$B$76))-DATE(YEAR(Inputs!C57),MONTH(Inputs!C57),DAY(Inputs!C57)))*30,0)</f>
        <v>7879.36046511628</v>
      </c>
      <c r="D24" s="46">
        <f>IF(Inputs!B57&gt;0,Inputs!A57*0.22/12,0)</f>
        <v>1833.333333333333</v>
      </c>
      <c r="E24" s="46">
        <f>IFERROR(ROUNDUP(Inputs!B57/B24,0),0)</f>
        <v>1</v>
      </c>
      <c r="H24" s="1"/>
    </row>
    <row r="25" spans="1:52">
      <c r="A25" s="46">
        <f>Inputs!A58</f>
        <v>1190000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2800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42943</v>
      </c>
      <c r="C33" s="27">
        <f>IF(B33&lt;&gt;"",IF(COUNT($A$33:A33)&lt;=$G$39,0,$G$41)+IF(COUNT($A$33:A33)&lt;=$G$40,0,$G$42),0)</f>
        <v>12500</v>
      </c>
      <c r="D33" s="170">
        <f>IFERROR(DATE(YEAR(B33),MONTH(B33),1)," ")</f>
        <v>42917</v>
      </c>
      <c r="F33" t="s">
        <v>170</v>
      </c>
      <c r="G33" s="128">
        <f>IF(Inputs!B79="","",DATE(YEAR(Inputs!B79),MONTH(Inputs!B79),DAY(Inputs!B79)))</f>
        <v>42913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42974</v>
      </c>
      <c r="C34" s="27">
        <f>IF(B34&lt;&gt;"",IF(COUNT($A$33:A34)&lt;=$G$39,0,$G$41)+IF(COUNT($A$33:A34)&lt;=$G$40,0,$G$42),0)</f>
        <v>12500</v>
      </c>
      <c r="D34" s="170">
        <f>IFERROR(DATE(YEAR(B34),MONTH(B34),1)," ")</f>
        <v>42948</v>
      </c>
      <c r="F34" t="s">
        <v>171</v>
      </c>
      <c r="G34" s="128">
        <f>IF(Inputs!B80="","",DATE(YEAR(Inputs!B80),MONTH(Inputs!B80),DAY(Inputs!B80)))</f>
        <v>42943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43005</v>
      </c>
      <c r="C35" s="27">
        <f>IF(B35&lt;&gt;"",IF(COUNT($A$33:A35)&lt;=$G$39,0,$G$41)+IF(COUNT($A$33:A35)&lt;=$G$40,0,$G$42),0)</f>
        <v>12500</v>
      </c>
      <c r="D35" s="170">
        <f>IFERROR(DATE(YEAR(B35),MONTH(B35),1)," ")</f>
        <v>42979</v>
      </c>
      <c r="F35" t="s">
        <v>173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43035</v>
      </c>
      <c r="C36" s="27">
        <f>IF(B36&lt;&gt;"",IF(COUNT($A$33:A36)&lt;=$G$39,0,$G$41)+IF(COUNT($A$33:A36)&lt;=$G$40,0,$G$42),0)</f>
        <v>12500</v>
      </c>
      <c r="D36" s="170">
        <f>IFERROR(DATE(YEAR(B36),MONTH(B36),1)," ")</f>
        <v>43009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43066</v>
      </c>
      <c r="C37" s="27">
        <f>IF(B37&lt;&gt;"",IF(COUNT($A$33:A37)&lt;=$G$39,0,$G$41)+IF(COUNT($A$33:A37)&lt;=$G$40,0,$G$42),0)</f>
        <v>12500</v>
      </c>
      <c r="D37" s="170">
        <f>IFERROR(DATE(YEAR(B37),MONTH(B37),1)," ")</f>
        <v>43040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43096</v>
      </c>
      <c r="C38" s="27">
        <f>IF(B38&lt;&gt;"",IF(COUNT($A$33:A38)&lt;=$G$39,0,$G$41)+IF(COUNT($A$33:A38)&lt;=$G$40,0,$G$42),0)</f>
        <v>12500</v>
      </c>
      <c r="D38" s="170">
        <f>IFERROR(DATE(YEAR(B38),MONTH(B38),1)," ")</f>
        <v>43070</v>
      </c>
      <c r="F38" t="s">
        <v>236</v>
      </c>
      <c r="G38" s="27">
        <f>IFERROR(Inputs!B85/Inputs!B84,"")</f>
        <v>15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43127</v>
      </c>
      <c r="C39" s="27">
        <f>IF(B39&lt;&gt;"",IF(COUNT($A$33:A39)&lt;=$G$39,0,$G$41)+IF(COUNT($A$33:A39)&lt;=$G$40,0,$G$42),0)</f>
        <v>12500</v>
      </c>
      <c r="D39" s="170">
        <f>IFERROR(DATE(YEAR(B39),MONTH(B39),1)," ")</f>
        <v>43101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43158</v>
      </c>
      <c r="C40" s="27">
        <f>IF(B40&lt;&gt;"",IF(COUNT($A$33:A40)&lt;=$G$39,0,$G$41)+IF(COUNT($A$33:A40)&lt;=$G$40,0,$G$42),0)</f>
        <v>12500</v>
      </c>
      <c r="D40" s="170">
        <f>IFERROR(DATE(YEAR(B40),MONTH(B40),1)," ")</f>
        <v>43132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43186</v>
      </c>
      <c r="C41" s="27">
        <f>IF(B41&lt;&gt;"",IF(COUNT($A$33:A41)&lt;=$G$39,0,$G$41)+IF(COUNT($A$33:A41)&lt;=$G$40,0,$G$42),0)</f>
        <v>12500</v>
      </c>
      <c r="D41" s="170">
        <f>IFERROR(DATE(YEAR(B41),MONTH(B41),1)," ")</f>
        <v>43160</v>
      </c>
      <c r="F41" t="s">
        <v>237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43217</v>
      </c>
      <c r="C42" s="27">
        <f>IF(B42&lt;&gt;"",IF(COUNT($A$33:A42)&lt;=$G$39,0,$G$41)+IF(COUNT($A$33:A42)&lt;=$G$40,0,$G$42),0)</f>
        <v>12500</v>
      </c>
      <c r="D42" s="170">
        <f>IFERROR(DATE(YEAR(B42),MONTH(B42),1)," ")</f>
        <v>43191</v>
      </c>
      <c r="F42" t="s">
        <v>238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43247</v>
      </c>
      <c r="C43" s="27">
        <f>IF(B43&lt;&gt;"",IF(COUNT($A$33:A43)&lt;=$G$39,0,$G$41)+IF(COUNT($A$33:A43)&lt;=$G$40,0,$G$42),0)</f>
        <v>12500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43278</v>
      </c>
      <c r="C44" s="27">
        <f>IF(B44&lt;&gt;"",IF(COUNT($A$33:A44)&lt;=$G$39,0,$G$41)+IF(COUNT($A$33:A44)&lt;=$G$40,0,$G$42),0)</f>
        <v>12500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43308</v>
      </c>
      <c r="C45" s="27">
        <f>IF(B45&lt;&gt;"",IF(COUNT($A$33:A45)&lt;=$G$39,0,$G$41)+IF(COUNT($A$33:A45)&lt;=$G$40,0,$G$42),0)</f>
        <v>12500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43339</v>
      </c>
      <c r="C46" s="27">
        <f>IF(B46&lt;&gt;"",IF(COUNT($A$33:A46)&lt;=$G$39,0,$G$41)+IF(COUNT($A$33:A46)&lt;=$G$40,0,$G$42),0)</f>
        <v>12500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43370</v>
      </c>
      <c r="C47" s="27">
        <f>IF(B47&lt;&gt;"",IF(COUNT($A$33:A47)&lt;=$G$39,0,$G$41)+IF(COUNT($A$33:A47)&lt;=$G$40,0,$G$42),0)</f>
        <v>12500</v>
      </c>
      <c r="D47" s="170">
        <f>IFERROR(DATE(YEAR(B47),MONTH(B47),1)," ")</f>
        <v>43344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211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302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305</v>
      </c>
      <c r="B24" s="21" t="s">
        <v>306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309</v>
      </c>
      <c r="B26" s="16" t="s">
        <v>306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310</v>
      </c>
      <c r="B27" s="71" t="s">
        <v>306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311</v>
      </c>
      <c r="B28" s="71" t="s">
        <v>306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312</v>
      </c>
      <c r="B29" s="118" t="s">
        <v>306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313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315</v>
      </c>
      <c r="B34" s="11" t="s">
        <v>316</v>
      </c>
    </row>
    <row r="35" spans="1:36">
      <c r="A35" t="s">
        <v>317</v>
      </c>
      <c r="B35" s="72">
        <v>60</v>
      </c>
      <c r="C35" s="86"/>
    </row>
    <row r="36" spans="1:36">
      <c r="A36" t="s">
        <v>318</v>
      </c>
      <c r="B36" s="72">
        <v>2000</v>
      </c>
      <c r="C36" s="86"/>
    </row>
    <row r="37" spans="1:36">
      <c r="A37" t="s">
        <v>319</v>
      </c>
      <c r="B37" s="2">
        <v>0.4</v>
      </c>
    </row>
    <row r="39" spans="1:36">
      <c r="A39" s="3" t="s">
        <v>320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321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302</v>
      </c>
      <c r="B42" s="72">
        <v>450</v>
      </c>
      <c r="C42" s="72">
        <v>450</v>
      </c>
    </row>
    <row r="43" spans="1:36">
      <c r="A43" t="s">
        <v>305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309</v>
      </c>
      <c r="B45" s="72">
        <v>25000</v>
      </c>
      <c r="C45" s="72">
        <v>50000</v>
      </c>
    </row>
    <row r="46" spans="1:36">
      <c r="A46" t="s">
        <v>310</v>
      </c>
      <c r="B46" s="72">
        <v>6000</v>
      </c>
      <c r="C46" s="72">
        <v>12000</v>
      </c>
    </row>
    <row r="47" spans="1:36">
      <c r="A47" t="s">
        <v>311</v>
      </c>
      <c r="B47" s="72">
        <v>4500</v>
      </c>
      <c r="C47" s="72">
        <v>12000</v>
      </c>
    </row>
    <row r="48" spans="1:36">
      <c r="A48" t="s">
        <v>312</v>
      </c>
      <c r="B48" s="72">
        <v>20000</v>
      </c>
      <c r="C48" s="72">
        <v>20000</v>
      </c>
      <c r="D48" s="72"/>
    </row>
    <row r="50" spans="1:36">
      <c r="A50" s="3" t="s">
        <v>322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323</v>
      </c>
      <c r="H52" s="12" t="s">
        <v>130</v>
      </c>
      <c r="I52" s="12" t="s">
        <v>324</v>
      </c>
      <c r="AJ52" s="12"/>
    </row>
    <row r="53" spans="1:36" customHeight="1" ht="30">
      <c r="A53" s="11" t="s">
        <v>325</v>
      </c>
      <c r="B53" s="11" t="s">
        <v>326</v>
      </c>
      <c r="C53" s="11" t="s">
        <v>327</v>
      </c>
      <c r="D53" s="10" t="s">
        <v>239</v>
      </c>
      <c r="E53" s="10" t="s">
        <v>198</v>
      </c>
      <c r="F53" s="10" t="s">
        <v>258</v>
      </c>
      <c r="G53" s="10" t="s">
        <v>328</v>
      </c>
      <c r="H53" s="10" t="s">
        <v>329</v>
      </c>
      <c r="I53" s="10" t="s">
        <v>329</v>
      </c>
      <c r="AJ53" s="12"/>
    </row>
    <row r="54" spans="1:36">
      <c r="A54">
        <v>8</v>
      </c>
      <c r="B54" s="12" t="s">
        <v>330</v>
      </c>
      <c r="C54" s="12" t="s">
        <v>331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332</v>
      </c>
      <c r="C55" s="12" t="s">
        <v>331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333</v>
      </c>
      <c r="C56" s="116" t="s">
        <v>334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335</v>
      </c>
      <c r="C57" s="116" t="s">
        <v>331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336</v>
      </c>
      <c r="C58" s="116" t="s">
        <v>331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337</v>
      </c>
      <c r="C59" s="116" t="s">
        <v>334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338</v>
      </c>
      <c r="C60" s="116" t="s">
        <v>334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339</v>
      </c>
      <c r="C61" s="116" t="s">
        <v>334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340</v>
      </c>
      <c r="C62" s="116" t="s">
        <v>334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341</v>
      </c>
      <c r="C63" s="116" t="s">
        <v>334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342</v>
      </c>
      <c r="C64" s="116" t="s">
        <v>334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343</v>
      </c>
      <c r="C65" s="12" t="s">
        <v>334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344</v>
      </c>
      <c r="C66" s="12" t="s">
        <v>334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345</v>
      </c>
      <c r="C67" s="12" t="s">
        <v>334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346</v>
      </c>
      <c r="C68" s="12" t="s">
        <v>334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347</v>
      </c>
      <c r="C69" s="12" t="s">
        <v>334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348</v>
      </c>
      <c r="C70" s="12" t="s">
        <v>334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349</v>
      </c>
      <c r="C71" s="12" t="s">
        <v>331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351</v>
      </c>
      <c r="B76" s="11" t="s">
        <v>352</v>
      </c>
      <c r="C76" s="11" t="s">
        <v>176</v>
      </c>
      <c r="D76" s="11" t="s">
        <v>353</v>
      </c>
      <c r="E76" s="11" t="s">
        <v>80</v>
      </c>
      <c r="F76" s="11" t="s">
        <v>354</v>
      </c>
      <c r="G76" s="11" t="s">
        <v>355</v>
      </c>
      <c r="H76" s="11" t="s">
        <v>356</v>
      </c>
      <c r="I76" s="11" t="s">
        <v>235</v>
      </c>
      <c r="J76" s="11" t="s">
        <v>357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358</v>
      </c>
      <c r="E77" s="12" t="s">
        <v>93</v>
      </c>
      <c r="F77" s="12" t="s">
        <v>93</v>
      </c>
      <c r="G77" s="12" t="s">
        <v>359</v>
      </c>
      <c r="H77" s="12" t="s">
        <v>130</v>
      </c>
      <c r="I77" s="12" t="s">
        <v>360</v>
      </c>
      <c r="J77" s="136" t="s">
        <v>361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362</v>
      </c>
      <c r="D78" s="133"/>
      <c r="E78" s="12" t="s">
        <v>363</v>
      </c>
      <c r="F78" s="12" t="s">
        <v>364</v>
      </c>
      <c r="G78" s="12" t="s">
        <v>110</v>
      </c>
      <c r="H78" s="12" t="s">
        <v>324</v>
      </c>
      <c r="I78" s="12" t="s">
        <v>365</v>
      </c>
      <c r="J78" s="70" t="s">
        <v>366</v>
      </c>
      <c r="K78" s="12" t="s">
        <v>93</v>
      </c>
      <c r="AJ78" s="12"/>
    </row>
    <row r="79" spans="1:36">
      <c r="B79" s="176">
        <v>10</v>
      </c>
      <c r="C79" s="12" t="s">
        <v>164</v>
      </c>
      <c r="D79" s="12">
        <v>1</v>
      </c>
      <c r="E79" s="12" t="s">
        <v>367</v>
      </c>
      <c r="F79" s="12" t="s">
        <v>368</v>
      </c>
      <c r="G79" s="12" t="s">
        <v>369</v>
      </c>
      <c r="I79" s="12" t="s">
        <v>176</v>
      </c>
      <c r="J79" s="70" t="s">
        <v>370</v>
      </c>
      <c r="K79" s="12" t="s">
        <v>93</v>
      </c>
      <c r="AJ79" s="12"/>
    </row>
    <row r="80" spans="1:36">
      <c r="B80" s="176">
        <v>20</v>
      </c>
      <c r="C80" s="12" t="s">
        <v>124</v>
      </c>
      <c r="D80" s="12">
        <f>D79+1</f>
        <v>2</v>
      </c>
      <c r="E80" s="12" t="s">
        <v>371</v>
      </c>
      <c r="F80" s="12" t="s">
        <v>372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163</v>
      </c>
      <c r="D81" s="12">
        <f>D80+1</f>
        <v>3</v>
      </c>
      <c r="J81" s="70" t="s">
        <v>373</v>
      </c>
      <c r="K81" s="12" t="s">
        <v>92</v>
      </c>
    </row>
    <row r="82" spans="1:36">
      <c r="B82" s="176">
        <v>40</v>
      </c>
      <c r="C82" s="12" t="s">
        <v>162</v>
      </c>
      <c r="D82" s="12">
        <f>D81+1</f>
        <v>4</v>
      </c>
      <c r="J82" s="70"/>
    </row>
    <row r="83" spans="1:36">
      <c r="B83" s="176">
        <v>50</v>
      </c>
      <c r="C83" s="12" t="s">
        <v>161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374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375</v>
      </c>
      <c r="D87" s="12">
        <f>D86+1</f>
        <v>9</v>
      </c>
    </row>
    <row r="88" spans="1:36">
      <c r="B88" s="176">
        <v>99.99999999999999</v>
      </c>
      <c r="C88" s="12" t="s">
        <v>376</v>
      </c>
      <c r="D88" s="12">
        <f>D87+1</f>
        <v>10</v>
      </c>
    </row>
    <row r="89" spans="1:36">
      <c r="C89" s="12" t="s">
        <v>377</v>
      </c>
      <c r="D89" s="12">
        <f>D88+1</f>
        <v>11</v>
      </c>
    </row>
    <row r="90" spans="1:36">
      <c r="C90" s="12" t="s">
        <v>378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