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<sst xmlns="http://schemas.openxmlformats.org/spreadsheetml/2006/main" uniqueCount="370">
  <si>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</si>
  <si>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</si>
  <si>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</si>
  <si>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</si>
  <si>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</si>
  <si>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</si>
  <si>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</si>
  <si>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</si>
  <si>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</si>
  <si>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</si>
  <si>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</si>
  <si>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</si>
  <si>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</si>
  <si>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</si>
  <si>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</si>
  <si>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</si>
  <si>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</si>
  <si>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</si>
  <si>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</si>
  <si>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</si>
  <si>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</si>
  <si>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</si>
  <si>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</si>
  <si>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</si>
  <si>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</si>
  <si>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</si>
  <si>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</si>
  <si>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</si>
  <si>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</si>
  <si>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</si>
  <si>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</si>
  <si>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</si>
  <si>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</si>
  <si>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</si>
  <si>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</si>
  <si>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</si>
  <si>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</si>
  <si>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</si>
  <si>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</si>
  <si>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</si>
  <si>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</si>
  <si>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</si>
  <si>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</si>
  <si>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</si>
  <si>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</si>
  <si>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</si>
  <si>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</si>
  <si>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</si>
  <si>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</si>
  <si>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</si>
  <si>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</si>
  <si>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</si>
  <si>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</si>
  <si>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</si>
  <si>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</si>
  <si>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</si>
  <si>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</si>
  <si>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</si>
  <si>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</si>
  <si>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</si>
  <si>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</si>
  <si>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</si>
  <si>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</si>
  <si>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</si>
  <si>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</si>
  <si>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</si>
  <si>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</si>
  <si>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</si>
  <si>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</si>
  <si>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</si>
  <si>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</si>
  <si>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</si>
  <si>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</si>
  <si>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</si>
  <si>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</si>
  <si>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</si>
  <si>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</si>
  <si>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</si>
  <si>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</si>
  <si>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</si>
  <si>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</si>
  <si>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</si>
  <si>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</si>
  <si>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</si>
  <si>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</si>
  <si>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</si>
  <si>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</si>
  <si>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</si>
  <si>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</si>
  <si>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</si>
  <si>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</si>
  <si>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</si>
  <si>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</si>
  <si>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</si>
  <si>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</si>
  <si>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</si>
  <si>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</si>
  <si>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</si>
  <si>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</si>
  <si>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</si>
  <si>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</si>
  <si>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</si>
  <si>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</si>
  <si>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</si>
  <si>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</si>
  <si>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</si>
  <si>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Sale of Fish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</si>
  <si>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</si>
  <si>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</si>
  <si>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</si>
  <si>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</si>
  <si>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</si>
  <si>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</si>
  <si>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</si>
  <si>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</si>
  <si>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</si>
  <si>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</si>
  <si>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</si>
  <si>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</si>
  <si>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</si>
  <si>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</si>
  <si>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</si>
  <si>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</si>
  <si>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</si>
  <si>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</si>
  <si>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</si>
  <si>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</si>
  <si>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</si>
  <si>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</si>
  <si>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</si>
  <si>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</si>
  <si>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</si>
  <si>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</si>
  <si>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</si>
  <si>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</si>
  <si>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</si>
  <si>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3/18/2017</t>
  </si>
  <si>
    <t>Musoni Kenya Ltd</t>
  </si>
  <si>
    <t>Yes</t>
  </si>
  <si>
    <t>School fees loan</t>
  </si>
  <si>
    <t>2/23/2017</t>
  </si>
  <si>
    <t>Wepesi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</si>
  <si>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</si>
  <si>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</si>
  <si>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</si>
  <si>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</si>
  <si>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</si>
  <si>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</si>
  <si>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</si>
  <si>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</si>
  <si>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</si>
  <si>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</si>
  <si>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</si>
  <si>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2017/6/28</t>
  </si>
  <si>
    <t>Loan terms</t>
  </si>
  <si>
    <t>Expected disbursement date</t>
  </si>
  <si>
    <t>Expected first repayment date</t>
  </si>
  <si>
    <t>2017/8/5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</si>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</sst>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Sale of Fish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1.437279340767876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>
        <f>IFERROR(Output!B107/Output!B101,"")</f>
        <v>0.5381469371945454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65000</v>
      </c>
    </row>
    <row r="17" spans="1:7">
      <c r="B17" s="1" t="s">
        <v>11</v>
      </c>
      <c r="C17" s="36">
        <f>SUM(Output!B6:M6)</f>
        <v>-107308</v>
      </c>
    </row>
    <row r="18" spans="1:7">
      <c r="B18" s="1" t="s">
        <v>12</v>
      </c>
      <c r="C18" s="36">
        <f>MIN(Output!B6:M6)</f>
        <v>-19806.47058823529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75000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-18806.47058823529</v>
      </c>
      <c r="C6" s="51">
        <f>C30-C88</f>
        <v>-18806.47058823529</v>
      </c>
      <c r="D6" s="51">
        <f>D30-D88</f>
        <v>-18806.47058823529</v>
      </c>
      <c r="E6" s="51">
        <f>E30-E88</f>
        <v>-19806.47058823529</v>
      </c>
      <c r="F6" s="51">
        <f>F30-F88</f>
        <v>-11889.80392156863</v>
      </c>
      <c r="G6" s="51">
        <f>G30-G88</f>
        <v>-11889.80392156863</v>
      </c>
      <c r="H6" s="51">
        <f>H30-H88</f>
        <v>-7302.509803921571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-107308</v>
      </c>
      <c r="AA6" s="51">
        <f>AA30-AA88</f>
        <v>-107308</v>
      </c>
      <c r="AB6" s="51">
        <f>AB30-AB88</f>
        <v>-107308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232600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132280</v>
      </c>
      <c r="J7" s="80">
        <f>IF(ISERROR(VLOOKUP(MONTH(J5),Inputs!$D$66:$D$71,1,0)),"",INDEX(Inputs!$B$66:$B$71,MATCH(MONTH(Output!J5),Inputs!$D$66:$D$71,0))-INDEX(Inputs!$C$66:$C$71,MATCH(MONTH(Output!J5),Inputs!$D$66:$D$71,0)))</f>
        <v>133000</v>
      </c>
      <c r="K7" s="80">
        <f>IF(ISERROR(VLOOKUP(MONTH(K5),Inputs!$D$66:$D$71,1,0)),"",INDEX(Inputs!$B$66:$B$71,MATCH(MONTH(Output!K5),Inputs!$D$66:$D$71,0))-INDEX(Inputs!$C$66:$C$71,MATCH(MONTH(Output!K5),Inputs!$D$66:$D$71,0)))</f>
        <v>137100</v>
      </c>
      <c r="L7" s="80">
        <f>IF(ISERROR(VLOOKUP(MONTH(L5),Inputs!$D$66:$D$71,1,0)),"",INDEX(Inputs!$B$66:$B$71,MATCH(MONTH(Output!L5),Inputs!$D$66:$D$71,0))-INDEX(Inputs!$C$66:$C$71,MATCH(MONTH(Output!L5),Inputs!$D$66:$D$71,0)))</f>
        <v>209100</v>
      </c>
      <c r="M7" s="80">
        <f>IF(ISERROR(VLOOKUP(MONTH(M5),Inputs!$D$66:$D$71,1,0)),"",INDEX(Inputs!$B$66:$B$71,MATCH(MONTH(Output!M5),Inputs!$D$66:$D$71,0))-INDEX(Inputs!$C$66:$C$71,MATCH(MONTH(Output!M5),Inputs!$D$66:$D$71,0)))</f>
        <v>219700</v>
      </c>
      <c r="N7" s="80">
        <f>IF(ISERROR(VLOOKUP(MONTH(N5),Inputs!$D$66:$D$71,1,0)),"",INDEX(Inputs!$B$66:$B$71,MATCH(MONTH(Output!N5),Inputs!$D$66:$D$71,0))-INDEX(Inputs!$C$66:$C$71,MATCH(MONTH(Output!N5),Inputs!$D$66:$D$71,0)))</f>
        <v>232600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132280</v>
      </c>
      <c r="V7" s="80">
        <f>IF(ISERROR(VLOOKUP(MONTH(V5),Inputs!$D$66:$D$71,1,0)),"",INDEX(Inputs!$B$66:$B$71,MATCH(MONTH(Output!V5),Inputs!$D$66:$D$71,0))-INDEX(Inputs!$C$66:$C$71,MATCH(MONTH(Output!V5),Inputs!$D$66:$D$71,0)))</f>
        <v>133000</v>
      </c>
      <c r="W7" s="80">
        <f>IF(ISERROR(VLOOKUP(MONTH(W5),Inputs!$D$66:$D$71,1,0)),"",INDEX(Inputs!$B$66:$B$71,MATCH(MONTH(Output!W5),Inputs!$D$66:$D$71,0))-INDEX(Inputs!$C$66:$C$71,MATCH(MONTH(Output!W5),Inputs!$D$66:$D$71,0)))</f>
        <v>137100</v>
      </c>
      <c r="X7" s="80">
        <f>IF(ISERROR(VLOOKUP(MONTH(X5),Inputs!$D$66:$D$71,1,0)),"",INDEX(Inputs!$B$66:$B$71,MATCH(MONTH(Output!X5),Inputs!$D$66:$D$71,0))-INDEX(Inputs!$C$66:$C$71,MATCH(MONTH(Output!X5),Inputs!$D$66:$D$71,0)))</f>
        <v>209100</v>
      </c>
      <c r="Y7" s="80">
        <f>IF(ISERROR(VLOOKUP(MONTH(Y5),Inputs!$D$66:$D$71,1,0)),"",INDEX(Inputs!$B$66:$B$71,MATCH(MONTH(Output!Y5),Inputs!$D$66:$D$71,0))-INDEX(Inputs!$C$66:$C$71,MATCH(MONTH(Output!Y5),Inputs!$D$66:$D$71,0)))</f>
        <v>219700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650000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650000</v>
      </c>
      <c r="AA9" s="75">
        <f>SUM(B9:M9)</f>
        <v>650000</v>
      </c>
      <c r="AB9" s="75">
        <f>SUM(B9:Y9)</f>
        <v>650000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65000</v>
      </c>
      <c r="E10" s="37">
        <f>SUMPRODUCT((Calculations!$D$33:$D$84=Output!E5)+0,Calculations!$C$33:$C$84)</f>
        <v>65000</v>
      </c>
      <c r="F10" s="37">
        <f>SUMPRODUCT((Calculations!$D$33:$D$84=Output!F5)+0,Calculations!$C$33:$C$84)</f>
        <v>65000</v>
      </c>
      <c r="G10" s="37">
        <f>SUMPRODUCT((Calculations!$D$33:$D$84=Output!G5)+0,Calculations!$C$33:$C$84)</f>
        <v>65000</v>
      </c>
      <c r="H10" s="37">
        <f>SUMPRODUCT((Calculations!$D$33:$D$84=Output!H5)+0,Calculations!$C$33:$C$84)</f>
        <v>65000</v>
      </c>
      <c r="I10" s="37">
        <f>SUMPRODUCT((Calculations!$D$33:$D$84=Output!I5)+0,Calculations!$C$33:$C$84)</f>
        <v>65000</v>
      </c>
      <c r="J10" s="37">
        <f>SUMPRODUCT((Calculations!$D$33:$D$84=Output!J5)+0,Calculations!$C$33:$C$84)</f>
        <v>65000</v>
      </c>
      <c r="K10" s="37">
        <f>SUMPRODUCT((Calculations!$D$33:$D$84=Output!K5)+0,Calculations!$C$33:$C$84)</f>
        <v>65000</v>
      </c>
      <c r="L10" s="37">
        <f>SUMPRODUCT((Calculations!$D$33:$D$84=Output!L5)+0,Calculations!$C$33:$C$84)</f>
        <v>65000</v>
      </c>
      <c r="M10" s="37">
        <f>SUMPRODUCT((Calculations!$D$33:$D$84=Output!M5)+0,Calculations!$C$33:$C$84)</f>
        <v>65000</v>
      </c>
      <c r="N10" s="37">
        <f>SUMPRODUCT((Calculations!$D$33:$D$84=Output!N5)+0,Calculations!$C$33:$C$84)</f>
        <v>65000</v>
      </c>
      <c r="O10" s="37">
        <f>SUMPRODUCT((Calculations!$D$33:$D$84=Output!O5)+0,Calculations!$C$33:$C$84)</f>
        <v>65000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780000</v>
      </c>
      <c r="AA10" s="37">
        <f>SUM(B10:M10)</f>
        <v>650000</v>
      </c>
      <c r="AB10" s="37">
        <f>SUM(B10:Y10)</f>
        <v>780000</v>
      </c>
    </row>
    <row r="11" spans="1:30" customHeight="1" ht="15.75">
      <c r="A11" s="43" t="s">
        <v>31</v>
      </c>
      <c r="B11" s="80">
        <f>B6+B9-B10</f>
        <v>631193.5294117647</v>
      </c>
      <c r="C11" s="80">
        <f>C6+C9-C10</f>
        <v>-18806.47058823529</v>
      </c>
      <c r="D11" s="80">
        <f>D6+D9-D10</f>
        <v>-83806.4705882353</v>
      </c>
      <c r="E11" s="80">
        <f>E6+E9-E10</f>
        <v>-84806.4705882353</v>
      </c>
      <c r="F11" s="80">
        <f>F6+F9-F10</f>
        <v>-76889.80392156863</v>
      </c>
      <c r="G11" s="80">
        <f>G6+G9-G10</f>
        <v>-76889.80392156863</v>
      </c>
      <c r="H11" s="80">
        <f>H6+H9-H10</f>
        <v>-72302.50980392157</v>
      </c>
      <c r="I11" s="80">
        <f>I6+I9-I10</f>
        <v>-65000</v>
      </c>
      <c r="J11" s="80">
        <f>J6+J9-J10</f>
        <v>-65000</v>
      </c>
      <c r="K11" s="80">
        <f>K6+K9-K10</f>
        <v>-65000</v>
      </c>
      <c r="L11" s="80">
        <f>L6+L9-L10</f>
        <v>-65000</v>
      </c>
      <c r="M11" s="80">
        <f>M6+M9-M10</f>
        <v>-65000</v>
      </c>
      <c r="N11" s="80">
        <f>N6+N9-N10</f>
        <v>-65000</v>
      </c>
      <c r="O11" s="80">
        <f>O6+O9-O10</f>
        <v>-65000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-237308</v>
      </c>
      <c r="AA11" s="80">
        <f>SUM(B11:M11)</f>
        <v>-107308</v>
      </c>
      <c r="AB11" s="46">
        <f>SUM(B11:Y11)</f>
        <v>-237308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0.1095049287127869</v>
      </c>
      <c r="E12" s="82">
        <f>IF(E13="Yes",IF(SUM($B$10:E10)/(SUM($B$6:E6)+SUM($B$9:E9))&lt;0,999.99,SUM($B$10:E10)/(SUM($B$6:E6)+SUM($B$9:E9))),"")</f>
        <v>0.2265699968013647</v>
      </c>
      <c r="F12" s="82">
        <f>IF(F13="Yes",IF(SUM($B$10:F10)/(SUM($B$6:F6)+SUM($B$9:F9))&lt;0,999.99,SUM($B$10:F10)/(SUM($B$6:F6)+SUM($B$9:F9))),"")</f>
        <v>0.3470465276154117</v>
      </c>
      <c r="G12" s="82">
        <f>IF(G13="Yes",IF(SUM($B$10:G10)/(SUM($B$6:G6)+SUM($B$9:G9))&lt;0,999.99,SUM($B$10:G10)/(SUM($B$6:G6)+SUM($B$9:G9))),"")</f>
        <v>0.4727319916205937</v>
      </c>
      <c r="H12" s="82">
        <f>IF(H13="Yes",IF(SUM($B$10:H10)/(SUM($B$6:H6)+SUM($B$9:H9))&lt;0,999.99,SUM($B$10:H10)/(SUM($B$6:H6)+SUM($B$9:H9))),"")</f>
        <v>0.5988663919866148</v>
      </c>
      <c r="I12" s="82">
        <f>IF(I13="Yes",IF(SUM($B$10:I10)/(SUM($B$6:I6)+SUM($B$9:I9))&lt;0,999.99,SUM($B$10:I10)/(SUM($B$6:I6)+SUM($B$9:I9))),"")</f>
        <v>0.7186396703839378</v>
      </c>
      <c r="J12" s="82">
        <f>IF(J13="Yes",IF(SUM($B$10:J10)/(SUM($B$6:J6)+SUM($B$9:J9))&lt;0,999.99,SUM($B$10:J10)/(SUM($B$6:J6)+SUM($B$9:J9))),"")</f>
        <v>0.8384129487812608</v>
      </c>
      <c r="K12" s="82">
        <f>IF(K13="Yes",IF(SUM($B$10:K10)/(SUM($B$6:K6)+SUM($B$9:K9))&lt;0,999.99,SUM($B$10:K10)/(SUM($B$6:K6)+SUM($B$9:K9))),"")</f>
        <v>0.9581862271785838</v>
      </c>
      <c r="L12" s="82">
        <f>IF(L13="Yes",IF(SUM($B$10:L10)/(SUM($B$6:L6)+SUM($B$9:L9))&lt;0,999.99,SUM($B$10:L10)/(SUM($B$6:L6)+SUM($B$9:L9))),"")</f>
        <v>1.077959505575907</v>
      </c>
      <c r="M12" s="82">
        <f>IF(M13="Yes",IF(SUM($B$10:M10)/(SUM($B$6:M6)+SUM($B$9:M9))&lt;0,999.99,SUM($B$10:M10)/(SUM($B$6:M6)+SUM($B$9:M9))),"")</f>
        <v>1.19773278397323</v>
      </c>
      <c r="N12" s="82">
        <f>IF(N13="Yes",IF(SUM($B$10:N10)/(SUM($B$6:N6)+SUM($B$9:N9))&lt;0,999.99,SUM($B$10:N10)/(SUM($B$6:N6)+SUM($B$9:N9))),"")</f>
        <v>1.317506062370553</v>
      </c>
      <c r="O12" s="82">
        <f>IF(O13="Yes",IF(SUM($B$10:O10)/(SUM($B$6:O6)+SUM($B$9:O9))&lt;0,999.99,SUM($B$10:O10)/(SUM($B$6:O6)+SUM($B$9:O9))),"")</f>
        <v>1.437279340767876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18806.47058823529</v>
      </c>
      <c r="C82" s="46">
        <f>SUM(C83:C87)</f>
        <v>18806.47058823529</v>
      </c>
      <c r="D82" s="46">
        <f>SUM(D83:D87)</f>
        <v>18806.47058823529</v>
      </c>
      <c r="E82" s="46">
        <f>SUM(E83:E87)</f>
        <v>19806.47058823529</v>
      </c>
      <c r="F82" s="46">
        <f>SUM(F83:F87)</f>
        <v>11889.80392156863</v>
      </c>
      <c r="G82" s="46">
        <f>SUM(G83:G87)</f>
        <v>11889.80392156863</v>
      </c>
      <c r="H82" s="46">
        <f>SUM(H83:H87)</f>
        <v>7302.509803921571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107308</v>
      </c>
      <c r="AA82" s="46">
        <f>SUM(B82:M82)</f>
        <v>107308</v>
      </c>
      <c r="AB82" s="46">
        <f>SUM(B82:Y82)</f>
        <v>107308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11889.80392156863</v>
      </c>
      <c r="C83" s="46">
        <f>IF(Calculations!$E23&gt;COUNT(Output!$B$35:C$35),Calculations!$B23,IF(Calculations!$E23=COUNT(Output!$B$35:C$35),Inputs!$B56-Calculations!$C23*(Calculations!$E23-1)+Calculations!$D23,0))</f>
        <v>11889.80392156863</v>
      </c>
      <c r="D83" s="46">
        <f>IF(Calculations!$E23&gt;COUNT(Output!$B$35:D$35),Calculations!$B23,IF(Calculations!$E23=COUNT(Output!$B$35:D$35),Inputs!$B56-Calculations!$C23*(Calculations!$E23-1)+Calculations!$D23,0))</f>
        <v>11889.80392156863</v>
      </c>
      <c r="E83" s="46">
        <f>IF(Calculations!$E23&gt;COUNT(Output!$B$35:E$35),Calculations!$B23,IF(Calculations!$E23=COUNT(Output!$B$35:E$35),Inputs!$B56-Calculations!$C23*(Calculations!$E23-1)+Calculations!$D23,0))</f>
        <v>11889.80392156863</v>
      </c>
      <c r="F83" s="46">
        <f>IF(Calculations!$E23&gt;COUNT(Output!$B$35:F$35),Calculations!$B23,IF(Calculations!$E23=COUNT(Output!$B$35:F$35),Inputs!$B56-Calculations!$C23*(Calculations!$E23-1)+Calculations!$D23,0))</f>
        <v>11889.80392156863</v>
      </c>
      <c r="G83" s="46">
        <f>IF(Calculations!$E23&gt;COUNT(Output!$B$35:G$35),Calculations!$B23,IF(Calculations!$E23=COUNT(Output!$B$35:G$35),Inputs!$B56-Calculations!$C23*(Calculations!$E23-1)+Calculations!$D23,0))</f>
        <v>11889.80392156863</v>
      </c>
      <c r="H83" s="46">
        <f>IF(Calculations!$E23&gt;COUNT(Output!$B$35:H$35),Calculations!$B23,IF(Calculations!$E23=COUNT(Output!$B$35:H$35),Inputs!$B56-Calculations!$C23*(Calculations!$E23-1)+Calculations!$D23,0))</f>
        <v>7302.509803921571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78641.33333333333</v>
      </c>
      <c r="AA83" s="46">
        <f>SUM(B83:M83)</f>
        <v>78641.33333333333</v>
      </c>
      <c r="AB83" s="46">
        <f>SUM(B83:Y83)</f>
        <v>78641.33333333333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6916.666666666667</v>
      </c>
      <c r="C84" s="46">
        <f>IF(Calculations!$E24&gt;COUNT(Output!$B$35:C$35),Calculations!$B24,IF(Calculations!$E24=COUNT(Output!$B$35:C$35),Inputs!$B57-Calculations!$C24*(Calculations!$E24-1)+Calculations!$D24,0))</f>
        <v>6916.666666666667</v>
      </c>
      <c r="D84" s="46">
        <f>IF(Calculations!$E24&gt;COUNT(Output!$B$35:D$35),Calculations!$B24,IF(Calculations!$E24=COUNT(Output!$B$35:D$35),Inputs!$B57-Calculations!$C24*(Calculations!$E24-1)+Calculations!$D24,0))</f>
        <v>6916.666666666667</v>
      </c>
      <c r="E84" s="46">
        <f>IF(Calculations!$E24&gt;COUNT(Output!$B$35:E$35),Calculations!$B24,IF(Calculations!$E24=COUNT(Output!$B$35:E$35),Inputs!$B57-Calculations!$C24*(Calculations!$E24-1)+Calculations!$D24,0))</f>
        <v>7916.666666666667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28666.66666666667</v>
      </c>
      <c r="AA84" s="46">
        <f>SUM(B84:M84)</f>
        <v>28666.66666666667</v>
      </c>
      <c r="AB84" s="46">
        <f>SUM(B84:Y84)</f>
        <v>28666.66666666667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18806.47058823529</v>
      </c>
      <c r="C88" s="19">
        <f>SUM(C72:C82,C66,C60,C54,C48,C42,C36)</f>
        <v>18806.47058823529</v>
      </c>
      <c r="D88" s="19">
        <f>SUM(D72:D82,D66,D60,D54,D48,D42,D36)</f>
        <v>18806.47058823529</v>
      </c>
      <c r="E88" s="19">
        <f>SUM(E72:E82,E66,E60,E54,E48,E42,E36)</f>
        <v>19806.47058823529</v>
      </c>
      <c r="F88" s="19">
        <f>SUM(F72:F82,F66,F60,F54,F48,F42,F36)</f>
        <v>11889.80392156863</v>
      </c>
      <c r="G88" s="19">
        <f>SUM(G72:G82,G66,G60,G54,G48,G42,G36)</f>
        <v>11889.80392156863</v>
      </c>
      <c r="H88" s="19">
        <f>SUM(H72:H82,H66,H60,H54,H48,H42,H36)</f>
        <v>7302.509803921571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107308</v>
      </c>
      <c r="AA88" s="19">
        <f>SUM(B88:M88)</f>
        <v>107308</v>
      </c>
      <c r="AB88" s="19">
        <f>SUM(B88:Y88)</f>
        <v>107308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519464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385000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1404464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90808</v>
      </c>
    </row>
    <row r="106" spans="1:30" customHeight="1" ht="15.75">
      <c r="A106" s="18" t="s">
        <v>71</v>
      </c>
      <c r="B106" s="37">
        <f>Calculations!G35</f>
        <v>650000</v>
      </c>
    </row>
    <row r="107" spans="1:30" customHeight="1" ht="15.75">
      <c r="A107" s="1" t="s">
        <v>72</v>
      </c>
      <c r="B107" s="19">
        <f>SUM(B104:B106)</f>
        <v>755808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0</v>
      </c>
    </row>
    <row r="31" spans="1:48">
      <c r="A31" s="5" t="s">
        <v>108</v>
      </c>
      <c r="B31" s="158">
        <v>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0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385000</v>
      </c>
    </row>
    <row r="47" spans="1:48" customHeight="1" ht="30">
      <c r="A47" s="57" t="s">
        <v>125</v>
      </c>
      <c r="B47" s="161">
        <v>500000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519464</v>
      </c>
    </row>
    <row r="50" spans="1:48">
      <c r="A50" s="43"/>
      <c r="B50" s="36"/>
    </row>
    <row r="51" spans="1:48">
      <c r="A51" s="58" t="s">
        <v>128</v>
      </c>
      <c r="B51" s="161">
        <v>15000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100000</v>
      </c>
      <c r="B56" s="159">
        <v>65808</v>
      </c>
      <c r="C56" s="162" t="s">
        <v>136</v>
      </c>
      <c r="D56" s="163" t="s">
        <v>137</v>
      </c>
      <c r="E56" s="163" t="s">
        <v>138</v>
      </c>
      <c r="F56" s="163" t="s">
        <v>139</v>
      </c>
    </row>
    <row r="57" spans="1:48">
      <c r="A57" s="157">
        <v>50000</v>
      </c>
      <c r="B57" s="157">
        <v>25000</v>
      </c>
      <c r="C57" s="164" t="s">
        <v>140</v>
      </c>
      <c r="D57" s="165" t="s">
        <v>137</v>
      </c>
      <c r="E57" s="165" t="s">
        <v>138</v>
      </c>
      <c r="F57" s="165" t="s">
        <v>141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143</v>
      </c>
      <c r="C65" s="10" t="s">
        <v>144</v>
      </c>
    </row>
    <row r="66" spans="1:48">
      <c r="A66" s="142" t="s">
        <v>119</v>
      </c>
      <c r="B66" s="159">
        <v>1589200</v>
      </c>
      <c r="C66" s="163">
        <v>1456920</v>
      </c>
      <c r="D66" s="49">
        <f>INDEX(Parameters!$D$79:$D$90,MATCH(Inputs!A66,Parameters!$C$79:$C$90,0))</f>
        <v>1</v>
      </c>
    </row>
    <row r="67" spans="1:48">
      <c r="A67" s="143" t="s">
        <v>145</v>
      </c>
      <c r="B67" s="157">
        <v>1429300</v>
      </c>
      <c r="C67" s="165">
        <v>1296300</v>
      </c>
      <c r="D67" s="49">
        <f>INDEX(Parameters!$D$79:$D$90,MATCH(Inputs!A67,Parameters!$C$79:$C$90,0))</f>
        <v>2</v>
      </c>
    </row>
    <row r="68" spans="1:48">
      <c r="A68" s="143" t="s">
        <v>146</v>
      </c>
      <c r="B68" s="157">
        <v>1526300</v>
      </c>
      <c r="C68" s="165">
        <v>1389200</v>
      </c>
      <c r="D68" s="49">
        <f>INDEX(Parameters!$D$79:$D$90,MATCH(Inputs!A68,Parameters!$C$79:$C$90,0))</f>
        <v>3</v>
      </c>
    </row>
    <row r="69" spans="1:48">
      <c r="A69" s="143" t="s">
        <v>147</v>
      </c>
      <c r="B69" s="157">
        <v>1265300</v>
      </c>
      <c r="C69" s="165">
        <v>1056200</v>
      </c>
      <c r="D69" s="49">
        <f>INDEX(Parameters!$D$79:$D$90,MATCH(Inputs!A69,Parameters!$C$79:$C$90,0))</f>
        <v>4</v>
      </c>
    </row>
    <row r="70" spans="1:48">
      <c r="A70" s="143" t="s">
        <v>148</v>
      </c>
      <c r="B70" s="157">
        <v>1456200</v>
      </c>
      <c r="C70" s="165">
        <v>1236500</v>
      </c>
      <c r="D70" s="49">
        <f>INDEX(Parameters!$D$79:$D$90,MATCH(Inputs!A70,Parameters!$C$79:$C$90,0))</f>
        <v>5</v>
      </c>
    </row>
    <row r="71" spans="1:48">
      <c r="A71" s="144" t="s">
        <v>149</v>
      </c>
      <c r="B71" s="158">
        <v>1356200</v>
      </c>
      <c r="C71" s="167">
        <v>1123600</v>
      </c>
      <c r="D71" s="49">
        <f>INDEX(Parameters!$D$79:$D$90,MATCH(Inputs!A71,Parameters!$C$79:$C$90,0))</f>
        <v>6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9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650000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6</v>
      </c>
      <c r="AD4" s="60">
        <f>IF($A4=0,1/12,IFERROR(INDEX(Parameters!$X$2:$AI$17,MATCH(Calculations!$A4,Parameters!$A$2:$A$17,0),MONTH(Calculations!AD$3)),1/12))</f>
        <v>7</v>
      </c>
      <c r="AE4" s="60">
        <f>IF($A4=0,1/12,IFERROR(INDEX(Parameters!$X$2:$AI$17,MATCH(Calculations!$A4,Parameters!$A$2:$A$17,0),MONTH(Calculations!AE$3)),1/12))</f>
        <v>8</v>
      </c>
      <c r="AF4" s="60">
        <f>IF($A4=0,1/12,IFERROR(INDEX(Parameters!$X$2:$AI$17,MATCH(Calculations!$A4,Parameters!$A$2:$A$17,0),MONTH(Calculations!AF$3)),1/12))</f>
        <v>9</v>
      </c>
      <c r="AG4" s="60">
        <f>IF($A4=0,1/12,IFERROR(INDEX(Parameters!$X$2:$AI$17,MATCH(Calculations!$A4,Parameters!$A$2:$A$17,0),MONTH(Calculations!AG$3)),1/12))</f>
        <v>10</v>
      </c>
      <c r="AH4" s="60">
        <f>IF($A4=0,1/12,IFERROR(INDEX(Parameters!$X$2:$AI$17,MATCH(Calculations!$A4,Parameters!$A$2:$A$17,0),MONTH(Calculations!AH$3)),1/12))</f>
        <v>11</v>
      </c>
      <c r="AI4" s="60">
        <f>IF($A4=0,1/12,IFERROR(INDEX(Parameters!$X$2:$AI$17,MATCH(Calculations!$A4,Parameters!$A$2:$A$17,0),MONTH(Calculations!AI$3)),1/12))</f>
        <v>12</v>
      </c>
      <c r="AJ4" s="60">
        <f>IF($A4=0,1/12,IFERROR(INDEX(Parameters!$X$2:$AI$17,MATCH(Calculations!$A4,Parameters!$A$2:$A$17,0),MONTH(Calculations!AJ$3)),1/12))</f>
        <v>1</v>
      </c>
      <c r="AK4" s="60">
        <f>IF($A4=0,1/12,IFERROR(INDEX(Parameters!$X$2:$AI$17,MATCH(Calculations!$A4,Parameters!$A$2:$A$17,0),MONTH(Calculations!AK$3)),1/12))</f>
        <v>2</v>
      </c>
      <c r="AL4" s="60">
        <f>IF($A4=0,1/12,IFERROR(INDEX(Parameters!$X$2:$AI$17,MATCH(Calculations!$A4,Parameters!$A$2:$A$17,0),MONTH(Calculations!AL$3)),1/12))</f>
        <v>3</v>
      </c>
      <c r="AM4" s="60">
        <f>IF($A4=0,1/12,IFERROR(INDEX(Parameters!$X$2:$AI$17,MATCH(Calculations!$A4,Parameters!$A$2:$A$17,0),MONTH(Calculations!AM$3)),1/12))</f>
        <v>4</v>
      </c>
      <c r="AN4" s="60">
        <f>IF($A4=0,1/12,IFERROR(INDEX(Parameters!$X$2:$AI$17,MATCH(Calculations!$A4,Parameters!$A$2:$A$17,0),MONTH(Calculations!AN$3)),1/12))</f>
        <v>5</v>
      </c>
      <c r="AO4" s="60">
        <f>IF($A4=0,1/12,IFERROR(INDEX(Parameters!$X$2:$AI$17,MATCH(Calculations!$A4,Parameters!$A$2:$A$17,0),MONTH(Calculations!AO$3)),1/12))</f>
        <v>6</v>
      </c>
      <c r="AP4" s="60">
        <f>IF($A4=0,1/12,IFERROR(INDEX(Parameters!$X$2:$AI$17,MATCH(Calculations!$A4,Parameters!$A$2:$A$17,0),MONTH(Calculations!AP$3)),1/12))</f>
        <v>7</v>
      </c>
      <c r="AQ4" s="60">
        <f>IF($A4=0,1/12,IFERROR(INDEX(Parameters!$X$2:$AI$17,MATCH(Calculations!$A4,Parameters!$A$2:$A$17,0),MONTH(Calculations!AQ$3)),1/12))</f>
        <v>8</v>
      </c>
      <c r="AR4" s="60">
        <f>IF($A4=0,1/12,IFERROR(INDEX(Parameters!$X$2:$AI$17,MATCH(Calculations!$A4,Parameters!$A$2:$A$17,0),MONTH(Calculations!AR$3)),1/12))</f>
        <v>9</v>
      </c>
      <c r="AS4" s="60">
        <f>IF($A4=0,1/12,IFERROR(INDEX(Parameters!$X$2:$AI$17,MATCH(Calculations!$A4,Parameters!$A$2:$A$17,0),MONTH(Calculations!AS$3)),1/12))</f>
        <v>10</v>
      </c>
      <c r="AT4" s="60">
        <f>IF($A4=0,1/12,IFERROR(INDEX(Parameters!$X$2:$AI$17,MATCH(Calculations!$A4,Parameters!$A$2:$A$17,0),MONTH(Calculations!AT$3)),1/12))</f>
        <v>11</v>
      </c>
      <c r="AU4" s="60">
        <f>IF($A4=0,1/12,IFERROR(INDEX(Parameters!$X$2:$AI$17,MATCH(Calculations!$A4,Parameters!$A$2:$A$17,0),MONTH(Calculations!AU$3)),1/12))</f>
        <v>12</v>
      </c>
      <c r="AV4" s="60">
        <f>IF($A4=0,1/12,IFERROR(INDEX(Parameters!$X$2:$AI$17,MATCH(Calculations!$A4,Parameters!$A$2:$A$17,0),MONTH(Calculations!AV$3)),1/12))</f>
        <v>1</v>
      </c>
      <c r="AW4" s="60">
        <f>IF($A4=0,1/12,IFERROR(INDEX(Parameters!$X$2:$AI$17,MATCH(Calculations!$A4,Parameters!$A$2:$A$17,0),MONTH(Calculations!AW$3)),1/12))</f>
        <v>2</v>
      </c>
      <c r="AX4" s="60">
        <f>IF($A4=0,1/12,IFERROR(INDEX(Parameters!$X$2:$AI$17,MATCH(Calculations!$A4,Parameters!$A$2:$A$17,0),MONTH(Calculations!AX$3)),1/12))</f>
        <v>3</v>
      </c>
      <c r="AY4" s="60">
        <f>IF($A4=0,1/12,IFERROR(INDEX(Parameters!$X$2:$AI$17,MATCH(Calculations!$A4,Parameters!$A$2:$A$17,0),MONTH(Calculations!AY$3)),1/12))</f>
        <v>4</v>
      </c>
      <c r="AZ4" s="60">
        <f>IF($A4=0,1/12,IFERROR(INDEX(Parameters!$X$2:$AI$17,MATCH(Calculations!$A4,Parameters!$A$2:$A$17,0),MONTH(Calculations!AZ$3)),1/12))</f>
        <v>5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100000</v>
      </c>
      <c r="B23" s="75">
        <f>SUM(C23:D23)</f>
        <v>11889.80392156863</v>
      </c>
      <c r="C23" s="75">
        <f>IF(Inputs!B56&gt;0,(Inputs!A56-Inputs!B56)/(DATE(YEAR(Inputs!$B$76),MONTH(Inputs!$B$76),DAY(Inputs!$B$76))-DATE(YEAR(Inputs!C56),MONTH(Inputs!C56),DAY(Inputs!C56)))*30,0)</f>
        <v>10056.47058823529</v>
      </c>
      <c r="D23" s="75">
        <f>IF(Inputs!B56&gt;0,Inputs!A56*0.22/12,0)</f>
        <v>1833.333333333333</v>
      </c>
      <c r="E23" s="75">
        <f>IFERROR(ROUNDUP(Inputs!B56/C23,0),0)</f>
        <v>7</v>
      </c>
    </row>
    <row r="24" spans="1:52">
      <c r="A24" s="46">
        <f>Inputs!A57</f>
        <v>50000</v>
      </c>
      <c r="B24" s="46">
        <f>SUM(C24:D24)</f>
        <v>6916.666666666667</v>
      </c>
      <c r="C24" s="46">
        <f>IF(Inputs!B57&gt;0,(Inputs!A57-Inputs!B57)/(DATE(YEAR(Inputs!$B$76),MONTH(Inputs!$B$76),DAY(Inputs!$B$76))-DATE(YEAR(Inputs!C57),MONTH(Inputs!C57),DAY(Inputs!C57)))*30,0)</f>
        <v>6000</v>
      </c>
      <c r="D24" s="46">
        <f>IF(Inputs!B57&gt;0,Inputs!A57*0.22/12,0)</f>
        <v>916.6666666666666</v>
      </c>
      <c r="E24" s="46">
        <f>IFERROR(ROUNDUP(Inputs!B57/B24,0),0)</f>
        <v>4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Kariobangi</v>
      </c>
    </row>
    <row r="33" spans="1:52">
      <c r="A33">
        <v>1</v>
      </c>
      <c r="B33" s="128">
        <f>G34</f>
        <v>42952</v>
      </c>
      <c r="C33" s="27">
        <f>IF(B33&lt;&gt;"",IF(COUNT($A$33:A33)&lt;=$G$39,0,$G$41)+IF(COUNT($A$33:A33)&lt;=$G$40,0,$G$42),0)</f>
        <v>65000</v>
      </c>
      <c r="D33" s="170">
        <f>IFERROR(DATE(YEAR(B33),MONTH(B33),1)," ")</f>
        <v>42948</v>
      </c>
      <c r="F33" t="s">
        <v>155</v>
      </c>
      <c r="G33" s="128">
        <f>IF(Inputs!B79="","",DATE(YEAR(Inputs!B79),MONTH(Inputs!B79),DAY(Inputs!B79)))</f>
        <v>42914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42983</v>
      </c>
      <c r="C34" s="27">
        <f>IF(B34&lt;&gt;"",IF(COUNT($A$33:A34)&lt;=$G$39,0,$G$41)+IF(COUNT($A$33:A34)&lt;=$G$40,0,$G$42),0)</f>
        <v>65000</v>
      </c>
      <c r="D34" s="170">
        <f>IFERROR(DATE(YEAR(B34),MONTH(B34),1)," ")</f>
        <v>42979</v>
      </c>
      <c r="F34" t="s">
        <v>156</v>
      </c>
      <c r="G34" s="128">
        <f>IF(Inputs!B80="","",DATE(YEAR(Inputs!B80),MONTH(Inputs!B80),DAY(Inputs!B80)))</f>
        <v>42952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43013</v>
      </c>
      <c r="C35" s="27">
        <f>IF(B35&lt;&gt;"",IF(COUNT($A$33:A35)&lt;=$G$39,0,$G$41)+IF(COUNT($A$33:A35)&lt;=$G$40,0,$G$42),0)</f>
        <v>65000</v>
      </c>
      <c r="D35" s="170">
        <f>IFERROR(DATE(YEAR(B35),MONTH(B35),1)," ")</f>
        <v>43009</v>
      </c>
      <c r="F35" t="s">
        <v>158</v>
      </c>
      <c r="G35" s="27">
        <f>Inputs!B81</f>
        <v>650000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43044</v>
      </c>
      <c r="C36" s="27">
        <f>IF(B36&lt;&gt;"",IF(COUNT($A$33:A36)&lt;=$G$39,0,$G$41)+IF(COUNT($A$33:A36)&lt;=$G$40,0,$G$42),0)</f>
        <v>65000</v>
      </c>
      <c r="D36" s="170">
        <f>IFERROR(DATE(YEAR(B36),MONTH(B36),1)," ")</f>
        <v>43040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43074</v>
      </c>
      <c r="C37" s="27">
        <f>IF(B37&lt;&gt;"",IF(COUNT($A$33:A37)&lt;=$G$39,0,$G$41)+IF(COUNT($A$33:A37)&lt;=$G$40,0,$G$42),0)</f>
        <v>65000</v>
      </c>
      <c r="D37" s="170">
        <f>IFERROR(DATE(YEAR(B37),MONTH(B37),1)," ")</f>
        <v>43070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43105</v>
      </c>
      <c r="C38" s="27">
        <f>IF(B38&lt;&gt;"",IF(COUNT($A$33:A38)&lt;=$G$39,0,$G$41)+IF(COUNT($A$33:A38)&lt;=$G$40,0,$G$42),0)</f>
        <v>65000</v>
      </c>
      <c r="D38" s="170">
        <f>IFERROR(DATE(YEAR(B38),MONTH(B38),1)," ")</f>
        <v>43101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43136</v>
      </c>
      <c r="C39" s="27">
        <f>IF(B39&lt;&gt;"",IF(COUNT($A$33:A39)&lt;=$G$39,0,$G$41)+IF(COUNT($A$33:A39)&lt;=$G$40,0,$G$42),0)</f>
        <v>65000</v>
      </c>
      <c r="D39" s="170">
        <f>IFERROR(DATE(YEAR(B39),MONTH(B39),1)," ")</f>
        <v>43132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43164</v>
      </c>
      <c r="C40" s="27">
        <f>IF(B40&lt;&gt;"",IF(COUNT($A$33:A40)&lt;=$G$39,0,$G$41)+IF(COUNT($A$33:A40)&lt;=$G$40,0,$G$42),0)</f>
        <v>65000</v>
      </c>
      <c r="D40" s="170">
        <f>IFERROR(DATE(YEAR(B40),MONTH(B40),1)," ")</f>
        <v>43160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43195</v>
      </c>
      <c r="C41" s="27">
        <f>IF(B41&lt;&gt;"",IF(COUNT($A$33:A41)&lt;=$G$39,0,$G$41)+IF(COUNT($A$33:A41)&lt;=$G$40,0,$G$42),0)</f>
        <v>65000</v>
      </c>
      <c r="D41" s="170">
        <f>IFERROR(DATE(YEAR(B41),MONTH(B41),1)," ")</f>
        <v>43191</v>
      </c>
      <c r="F41" t="s">
        <v>222</v>
      </c>
      <c r="G41" s="73">
        <f>IFERROR(G35/(G38-G39),"")</f>
        <v>54166.66666666666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43225</v>
      </c>
      <c r="C42" s="27">
        <f>IF(B42&lt;&gt;"",IF(COUNT($A$33:A42)&lt;=$G$39,0,$G$41)+IF(COUNT($A$33:A42)&lt;=$G$40,0,$G$42),0)</f>
        <v>65000</v>
      </c>
      <c r="D42" s="170">
        <f>IFERROR(DATE(YEAR(B42),MONTH(B42),1)," ")</f>
        <v>43221</v>
      </c>
      <c r="F42" t="s">
        <v>223</v>
      </c>
      <c r="G42" s="73">
        <f>IFERROR(G35*G36*IF(G37="Monthly",G38/12,IF(G37="Fortnightly",G38/(365/14),G38/(365/28)))/(G38-G40),"")</f>
        <v>10833.33333333333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43256</v>
      </c>
      <c r="C43" s="27">
        <f>IF(B43&lt;&gt;"",IF(COUNT($A$33:A43)&lt;=$G$39,0,$G$41)+IF(COUNT($A$33:A43)&lt;=$G$40,0,$G$42),0)</f>
        <v>65000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43286</v>
      </c>
      <c r="C44" s="27">
        <f>IF(B44&lt;&gt;"",IF(COUNT($A$33:A44)&lt;=$G$39,0,$G$41)+IF(COUNT($A$33:A44)&lt;=$G$40,0,$G$42),0)</f>
        <v>65000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116</v>
      </c>
      <c r="C41" s="191" t="s">
        <v>138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121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224</v>
      </c>
      <c r="E53" s="10" t="s">
        <v>183</v>
      </c>
      <c r="F53" s="10" t="s">
        <v>243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138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138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138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138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138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138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138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138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138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138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138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161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220</v>
      </c>
      <c r="J76" s="11" t="s">
        <v>345</v>
      </c>
      <c r="K76" s="11" t="s">
        <v>173</v>
      </c>
      <c r="AJ76" s="12"/>
    </row>
    <row r="77" spans="1:36">
      <c r="A77" t="s">
        <v>138</v>
      </c>
      <c r="B77" s="176">
        <v>0</v>
      </c>
      <c r="C77" s="12" t="s">
        <v>346</v>
      </c>
      <c r="E77" s="12" t="s">
        <v>116</v>
      </c>
      <c r="F77" s="12" t="s">
        <v>116</v>
      </c>
      <c r="G77" s="12" t="s">
        <v>347</v>
      </c>
      <c r="H77" s="12" t="s">
        <v>121</v>
      </c>
      <c r="I77" s="12" t="s">
        <v>348</v>
      </c>
      <c r="J77" s="136" t="s">
        <v>349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312</v>
      </c>
      <c r="I78" s="12" t="s">
        <v>354</v>
      </c>
      <c r="J78" s="70" t="s">
        <v>355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161</v>
      </c>
      <c r="J79" s="70" t="s">
        <v>359</v>
      </c>
      <c r="K79" s="12" t="s">
        <v>116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138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363</v>
      </c>
      <c r="K81" s="12" t="s">
        <v>138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