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<sst xmlns="http://schemas.openxmlformats.org/spreadsheetml/2006/main" uniqueCount="377">
  <si>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</si>
  <si>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</si>
  <si>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</si>
  <si>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</si>
  <si>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</si>
  <si>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</si>
  <si>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</si>
  <si>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</si>
  <si>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</si>
  <si>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</si>
  <si>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</si>
  <si>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</si>
  <si>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</si>
  <si>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</si>
  <si>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</si>
  <si>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</si>
  <si>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</si>
  <si>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</si>
  <si>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</si>
  <si>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</si>
  <si>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</si>
  <si>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</si>
  <si>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</si>
  <si>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</si>
  <si>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</si>
  <si>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</si>
  <si>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</si>
  <si>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</si>
  <si>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</si>
  <si>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</si>
  <si>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</si>
  <si>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</si>
  <si>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</si>
  <si>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</si>
  <si>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</si>
  <si>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</si>
  <si>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</si>
  <si>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</si>
  <si>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</si>
  <si>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</si>
  <si>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</si>
  <si>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</si>
  <si>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</si>
  <si>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</si>
  <si>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</si>
  <si>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</si>
  <si>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</si>
  <si>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</si>
  <si>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</si>
  <si>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</si>
  <si>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</si>
  <si>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</si>
  <si>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</si>
  <si>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</si>
  <si>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</si>
  <si>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</si>
  <si>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</si>
  <si>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</si>
  <si>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</si>
  <si>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</si>
  <si>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</si>
  <si>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</si>
  <si>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</si>
  <si>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</si>
  <si>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</si>
  <si>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</si>
  <si>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</si>
  <si>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</si>
  <si>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</si>
  <si>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</si>
  <si>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</si>
  <si>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</si>
  <si>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</si>
  <si>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</si>
  <si>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</si>
  <si>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</si>
  <si>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</si>
  <si>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</si>
  <si>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</si>
  <si>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</si>
  <si>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</si>
  <si>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</si>
  <si>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</si>
  <si>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</si>
  <si>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</si>
  <si>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</si>
  <si>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</si>
  <si>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</si>
  <si>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</si>
  <si>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</si>
  <si>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</si>
  <si>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</si>
  <si>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</si>
  <si>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</si>
  <si>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every month</t>
  </si>
  <si>
    <t>Beans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</si>
  <si>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</si>
  <si>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</si>
  <si>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</si>
  <si>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</si>
  <si>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</si>
  <si>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</si>
  <si>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</si>
  <si>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</si>
  <si>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</si>
  <si>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</si>
  <si>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</si>
  <si>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</si>
  <si>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</si>
  <si>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</si>
  <si>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</si>
  <si>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</si>
  <si>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</si>
  <si>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</si>
  <si>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</si>
  <si>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</si>
  <si>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grocery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</si>
  <si>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</si>
  <si>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</si>
  <si>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</si>
  <si>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</si>
  <si>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</si>
  <si>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</si>
  <si>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</si>
  <si>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bodaboda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</si>
  <si>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</si>
  <si>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</si>
  <si>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</si>
  <si>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</si>
  <si>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</si>
  <si>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</si>
  <si>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</si>
  <si>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</si>
  <si>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</si>
  <si>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</si>
  <si>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</si>
  <si>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</si>
  <si>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</si>
  <si>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</si>
  <si>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</si>
  <si>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</si>
  <si>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</si>
  <si>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</si>
  <si>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</si>
  <si>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</si>
  <si>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</si>
  <si>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5/19/2017</t>
  </si>
  <si>
    <t>Gusii mwalimu sacco</t>
  </si>
  <si>
    <t xml:space="preserve">check off. </t>
  </si>
  <si>
    <t>6/28/2016</t>
  </si>
  <si>
    <t>Musoni</t>
  </si>
  <si>
    <t>Trp 100%</t>
  </si>
  <si>
    <t>6/28/2014</t>
  </si>
  <si>
    <t>barclays</t>
  </si>
  <si>
    <t>trp 100%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</si>
  <si>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</si>
  <si>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</si>
  <si>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</si>
  <si>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</si>
  <si>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</si>
  <si>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</si>
  <si>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</si>
  <si>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</si>
  <si>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</si>
  <si>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</si>
  <si>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</si>
  <si>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2017/6/28</t>
  </si>
  <si>
    <t>Loan terms</t>
  </si>
  <si>
    <t>Expected disbursement date</t>
  </si>
  <si>
    <t>Expected first repayment date</t>
  </si>
  <si>
    <t>2017/8/4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</si>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</sst>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grocery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0.5868672834424027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0.005148148148148148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12500</v>
      </c>
    </row>
    <row r="17" spans="1:7">
      <c r="B17" s="1" t="s">
        <v>11</v>
      </c>
      <c r="C17" s="36">
        <f>SUM(Output!B6:M6)</f>
        <v>93280.81907919377</v>
      </c>
    </row>
    <row r="18" spans="1:7">
      <c r="B18" s="1" t="s">
        <v>12</v>
      </c>
      <c r="C18" s="36">
        <f>MIN(Output!B6:M6)</f>
        <v>-29215.16201866839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31727.53204525856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461333.3333333333</v>
      </c>
    </row>
    <row r="25" spans="1:7">
      <c r="B25" s="1" t="s">
        <v>18</v>
      </c>
      <c r="C25" s="36">
        <f>MAX(Inputs!A56:A60)</f>
        <v>1119000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16158.3714027751</v>
      </c>
      <c r="C6" s="51">
        <f>C30-C88</f>
        <v>31727.53204525856</v>
      </c>
      <c r="D6" s="51">
        <f>D30-D88</f>
        <v>3336.543189557473</v>
      </c>
      <c r="E6" s="51">
        <f>E30-E88</f>
        <v>9586.543189557473</v>
      </c>
      <c r="F6" s="51">
        <f>F30-F88</f>
        <v>2086.543189557473</v>
      </c>
      <c r="G6" s="51">
        <f>G30-G88</f>
        <v>9586.543189557473</v>
      </c>
      <c r="H6" s="51">
        <f>H30-H88</f>
        <v>25417.73213336871</v>
      </c>
      <c r="I6" s="51">
        <f>I30-I88</f>
        <v>-29215.16201866839</v>
      </c>
      <c r="J6" s="51">
        <f>J30-J88</f>
        <v>3336.543189557473</v>
      </c>
      <c r="K6" s="51">
        <f>K30-K88</f>
        <v>9586.543189557473</v>
      </c>
      <c r="L6" s="51">
        <f>L30-L88</f>
        <v>2086.543189557473</v>
      </c>
      <c r="M6" s="51">
        <f>M30-M88</f>
        <v>9586.543189557473</v>
      </c>
      <c r="N6" s="51">
        <f>N30-N88</f>
        <v>25417.73213336871</v>
      </c>
      <c r="O6" s="51">
        <f>O30-O88</f>
        <v>35784.83798133161</v>
      </c>
      <c r="P6" s="51">
        <f>P30-P88</f>
        <v>3336.543189557473</v>
      </c>
      <c r="Q6" s="51">
        <f>Q30-Q88</f>
        <v>9586.543189557473</v>
      </c>
      <c r="R6" s="51">
        <f>R30-R88</f>
        <v>2086.543189557473</v>
      </c>
      <c r="S6" s="51">
        <f>S30-S88</f>
        <v>9586.543189557473</v>
      </c>
      <c r="T6" s="51">
        <f>T30-T88</f>
        <v>25417.73213336871</v>
      </c>
      <c r="U6" s="51">
        <f>U30-U88</f>
        <v>35784.83798133161</v>
      </c>
      <c r="V6" s="51">
        <f>V30-V88</f>
        <v>3336.543189557473</v>
      </c>
      <c r="W6" s="51">
        <f>W30-W88</f>
        <v>9586.543189557473</v>
      </c>
      <c r="X6" s="51">
        <f>X30-X88</f>
        <v>2086.543189557473</v>
      </c>
      <c r="Y6" s="51">
        <f>Y30-Y88</f>
        <v>9586.543189557473</v>
      </c>
      <c r="Z6" s="51">
        <f>SUMIF($B$13:$Y$13,"Yes",B6:Y6)</f>
        <v>169493.0187625665</v>
      </c>
      <c r="AA6" s="51">
        <f>AA30-AA88</f>
        <v>93280.81907919399</v>
      </c>
      <c r="AB6" s="51">
        <f>AB30-AB88</f>
        <v>264878.3048250533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92173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-7934</v>
      </c>
      <c r="J7" s="80">
        <f>IF(ISERROR(VLOOKUP(MONTH(J5),Inputs!$D$66:$D$71,1,0)),"",INDEX(Inputs!$B$66:$B$71,MATCH(MONTH(Output!J5),Inputs!$D$66:$D$71,0))-INDEX(Inputs!$C$66:$C$71,MATCH(MONTH(Output!J5),Inputs!$D$66:$D$71,0)))</f>
        <v>-21018</v>
      </c>
      <c r="K7" s="80">
        <f>IF(ISERROR(VLOOKUP(MONTH(K5),Inputs!$D$66:$D$71,1,0)),"",INDEX(Inputs!$B$66:$B$71,MATCH(MONTH(Output!K5),Inputs!$D$66:$D$71,0))-INDEX(Inputs!$C$66:$C$71,MATCH(MONTH(Output!K5),Inputs!$D$66:$D$71,0)))</f>
        <v>1189</v>
      </c>
      <c r="L7" s="80">
        <f>IF(ISERROR(VLOOKUP(MONTH(L5),Inputs!$D$66:$D$71,1,0)),"",INDEX(Inputs!$B$66:$B$71,MATCH(MONTH(Output!L5),Inputs!$D$66:$D$71,0))-INDEX(Inputs!$C$66:$C$71,MATCH(MONTH(Output!L5),Inputs!$D$66:$D$71,0)))</f>
        <v>6346</v>
      </c>
      <c r="M7" s="80">
        <f>IF(ISERROR(VLOOKUP(MONTH(M5),Inputs!$D$66:$D$71,1,0)),"",INDEX(Inputs!$B$66:$B$71,MATCH(MONTH(Output!M5),Inputs!$D$66:$D$71,0))-INDEX(Inputs!$C$66:$C$71,MATCH(MONTH(Output!M5),Inputs!$D$66:$D$71,0)))</f>
        <v>13811</v>
      </c>
      <c r="N7" s="80">
        <f>IF(ISERROR(VLOOKUP(MONTH(N5),Inputs!$D$66:$D$71,1,0)),"",INDEX(Inputs!$B$66:$B$71,MATCH(MONTH(Output!N5),Inputs!$D$66:$D$71,0))-INDEX(Inputs!$C$66:$C$71,MATCH(MONTH(Output!N5),Inputs!$D$66:$D$71,0)))</f>
        <v>92173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-7934</v>
      </c>
      <c r="V7" s="80">
        <f>IF(ISERROR(VLOOKUP(MONTH(V5),Inputs!$D$66:$D$71,1,0)),"",INDEX(Inputs!$B$66:$B$71,MATCH(MONTH(Output!V5),Inputs!$D$66:$D$71,0))-INDEX(Inputs!$C$66:$C$71,MATCH(MONTH(Output!V5),Inputs!$D$66:$D$71,0)))</f>
        <v>-21018</v>
      </c>
      <c r="W7" s="80">
        <f>IF(ISERROR(VLOOKUP(MONTH(W5),Inputs!$D$66:$D$71,1,0)),"",INDEX(Inputs!$B$66:$B$71,MATCH(MONTH(Output!W5),Inputs!$D$66:$D$71,0))-INDEX(Inputs!$C$66:$C$71,MATCH(MONTH(Output!W5),Inputs!$D$66:$D$71,0)))</f>
        <v>1189</v>
      </c>
      <c r="X7" s="80">
        <f>IF(ISERROR(VLOOKUP(MONTH(X5),Inputs!$D$66:$D$71,1,0)),"",INDEX(Inputs!$B$66:$B$71,MATCH(MONTH(Output!X5),Inputs!$D$66:$D$71,0))-INDEX(Inputs!$C$66:$C$71,MATCH(MONTH(Output!X5),Inputs!$D$66:$D$71,0)))</f>
        <v>6346</v>
      </c>
      <c r="Y7" s="80">
        <f>IF(ISERROR(VLOOKUP(MONTH(Y5),Inputs!$D$66:$D$71,1,0)),"",INDEX(Inputs!$B$66:$B$71,MATCH(MONTH(Output!Y5),Inputs!$D$66:$D$71,0))-INDEX(Inputs!$C$66:$C$71,MATCH(MONTH(Output!Y5),Inputs!$D$66:$D$71,0)))</f>
        <v>13811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12500</v>
      </c>
      <c r="E10" s="37">
        <f>SUMPRODUCT((Calculations!$D$33:$D$84=Output!E5)+0,Calculations!$C$33:$C$84)</f>
        <v>12500</v>
      </c>
      <c r="F10" s="37">
        <f>SUMPRODUCT((Calculations!$D$33:$D$84=Output!F5)+0,Calculations!$C$33:$C$84)</f>
        <v>12500</v>
      </c>
      <c r="G10" s="37">
        <f>SUMPRODUCT((Calculations!$D$33:$D$84=Output!G5)+0,Calculations!$C$33:$C$84)</f>
        <v>12500</v>
      </c>
      <c r="H10" s="37">
        <f>SUMPRODUCT((Calculations!$D$33:$D$84=Output!H5)+0,Calculations!$C$33:$C$84)</f>
        <v>12500</v>
      </c>
      <c r="I10" s="37">
        <f>SUMPRODUCT((Calculations!$D$33:$D$84=Output!I5)+0,Calculations!$C$33:$C$84)</f>
        <v>12500</v>
      </c>
      <c r="J10" s="37">
        <f>SUMPRODUCT((Calculations!$D$33:$D$84=Output!J5)+0,Calculations!$C$33:$C$84)</f>
        <v>12500</v>
      </c>
      <c r="K10" s="37">
        <f>SUMPRODUCT((Calculations!$D$33:$D$84=Output!K5)+0,Calculations!$C$33:$C$84)</f>
        <v>12500</v>
      </c>
      <c r="L10" s="37">
        <f>SUMPRODUCT((Calculations!$D$33:$D$84=Output!L5)+0,Calculations!$C$33:$C$84)</f>
        <v>12500</v>
      </c>
      <c r="M10" s="37">
        <f>SUMPRODUCT((Calculations!$D$33:$D$84=Output!M5)+0,Calculations!$C$33:$C$84)</f>
        <v>12500</v>
      </c>
      <c r="N10" s="37">
        <f>SUMPRODUCT((Calculations!$D$33:$D$84=Output!N5)+0,Calculations!$C$33:$C$84)</f>
        <v>12500</v>
      </c>
      <c r="O10" s="37">
        <f>SUMPRODUCT((Calculations!$D$33:$D$84=Output!O5)+0,Calculations!$C$33:$C$84)</f>
        <v>12500</v>
      </c>
      <c r="P10" s="37">
        <f>SUMPRODUCT((Calculations!$D$33:$D$84=Output!P5)+0,Calculations!$C$33:$C$84)</f>
        <v>12500</v>
      </c>
      <c r="Q10" s="37">
        <f>SUMPRODUCT((Calculations!$D$33:$D$84=Output!Q5)+0,Calculations!$C$33:$C$84)</f>
        <v>12500</v>
      </c>
      <c r="R10" s="37">
        <f>SUMPRODUCT((Calculations!$D$33:$D$84=Output!R5)+0,Calculations!$C$33:$C$84)</f>
        <v>12500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187500</v>
      </c>
      <c r="AA10" s="37">
        <f>SUM(B10:M10)</f>
        <v>125000</v>
      </c>
      <c r="AB10" s="37">
        <f>SUM(B10:Y10)</f>
        <v>187500</v>
      </c>
    </row>
    <row r="11" spans="1:30" customHeight="1" ht="15.75">
      <c r="A11" s="43" t="s">
        <v>31</v>
      </c>
      <c r="B11" s="80">
        <f>B6+B9-B10</f>
        <v>166158.3714027751</v>
      </c>
      <c r="C11" s="80">
        <f>C6+C9-C10</f>
        <v>31727.53204525856</v>
      </c>
      <c r="D11" s="80">
        <f>D6+D9-D10</f>
        <v>-9163.456810442527</v>
      </c>
      <c r="E11" s="80">
        <f>E6+E9-E10</f>
        <v>-2913.456810442527</v>
      </c>
      <c r="F11" s="80">
        <f>F6+F9-F10</f>
        <v>-10413.45681044253</v>
      </c>
      <c r="G11" s="80">
        <f>G6+G9-G10</f>
        <v>-2913.456810442527</v>
      </c>
      <c r="H11" s="80">
        <f>H6+H9-H10</f>
        <v>12917.73213336871</v>
      </c>
      <c r="I11" s="80">
        <f>I6+I9-I10</f>
        <v>-41715.16201866839</v>
      </c>
      <c r="J11" s="80">
        <f>J6+J9-J10</f>
        <v>-9163.456810442527</v>
      </c>
      <c r="K11" s="80">
        <f>K6+K9-K10</f>
        <v>-2913.456810442527</v>
      </c>
      <c r="L11" s="80">
        <f>L6+L9-L10</f>
        <v>-10413.45681044253</v>
      </c>
      <c r="M11" s="80">
        <f>M6+M9-M10</f>
        <v>-2913.456810442527</v>
      </c>
      <c r="N11" s="80">
        <f>N6+N9-N10</f>
        <v>12917.73213336871</v>
      </c>
      <c r="O11" s="80">
        <f>O6+O9-O10</f>
        <v>23284.83798133161</v>
      </c>
      <c r="P11" s="80">
        <f>P6+P9-P10</f>
        <v>-9163.456810442527</v>
      </c>
      <c r="Q11" s="80">
        <f>Q6+Q9-Q10</f>
        <v>-2913.456810442527</v>
      </c>
      <c r="R11" s="80">
        <f>R6+R9-R10</f>
        <v>-10413.45681044253</v>
      </c>
      <c r="S11" s="80">
        <f>S6+S9-S10</f>
        <v>9586.543189557473</v>
      </c>
      <c r="T11" s="80">
        <f>T6+T9-T10</f>
        <v>25417.73213336871</v>
      </c>
      <c r="U11" s="80">
        <f>U6+U9-U10</f>
        <v>35784.83798133161</v>
      </c>
      <c r="V11" s="80">
        <f>V6+V9-V10</f>
        <v>3336.543189557473</v>
      </c>
      <c r="W11" s="80">
        <f>W6+W9-W10</f>
        <v>9586.543189557473</v>
      </c>
      <c r="X11" s="80">
        <f>X6+X9-X10</f>
        <v>2086.543189557473</v>
      </c>
      <c r="Y11" s="80">
        <f>Y6+Y9-Y10</f>
        <v>9586.543189557473</v>
      </c>
      <c r="Z11" s="85">
        <f>SUMIF($B$13:$Y$13,"Yes",B11:Y11)</f>
        <v>131993.0187625665</v>
      </c>
      <c r="AA11" s="80">
        <f>SUM(B11:M11)</f>
        <v>118280.8190791938</v>
      </c>
      <c r="AB11" s="46">
        <f>SUM(B11:Y11)</f>
        <v>227378.3048250541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0.0621203062027814</v>
      </c>
      <c r="E12" s="82">
        <f>IF(E13="Yes",IF(SUM($B$10:E10)/(SUM($B$6:E6)+SUM($B$9:E9))&lt;0,999.99,SUM($B$10:E10)/(SUM($B$6:E6)+SUM($B$9:E9))),"")</f>
        <v>0.118590767976729</v>
      </c>
      <c r="F12" s="82">
        <f>IF(F13="Yes",IF(SUM($B$10:F10)/(SUM($B$6:F6)+SUM($B$9:F9))&lt;0,999.99,SUM($B$10:F10)/(SUM($B$6:F6)+SUM($B$9:F9))),"")</f>
        <v>0.1761427281663883</v>
      </c>
      <c r="G12" s="82">
        <f>IF(G13="Yes",IF(SUM($B$10:G10)/(SUM($B$6:G6)+SUM($B$9:G9))&lt;0,999.99,SUM($B$10:G10)/(SUM($B$6:G6)+SUM($B$9:G9))),"")</f>
        <v>0.224737205138471</v>
      </c>
      <c r="H12" s="82">
        <f>IF(H13="Yes",IF(SUM($B$10:H10)/(SUM($B$6:H6)+SUM($B$9:H9))&lt;0,999.99,SUM($B$10:H10)/(SUM($B$6:H6)+SUM($B$9:H9))),"")</f>
        <v>0.2521179843526647</v>
      </c>
      <c r="I12" s="82">
        <f>IF(I13="Yes",IF(SUM($B$10:I10)/(SUM($B$6:I6)+SUM($B$9:I9))&lt;0,999.99,SUM($B$10:I10)/(SUM($B$6:I6)+SUM($B$9:I9))),"")</f>
        <v>0.3429596053575812</v>
      </c>
      <c r="J12" s="82">
        <f>IF(J13="Yes",IF(SUM($B$10:J10)/(SUM($B$6:J6)+SUM($B$9:J9))&lt;0,999.99,SUM($B$10:J10)/(SUM($B$6:J6)+SUM($B$9:J9))),"")</f>
        <v>0.3941065273675307</v>
      </c>
      <c r="K12" s="82">
        <f>IF(K13="Yes",IF(SUM($B$10:K10)/(SUM($B$6:K6)+SUM($B$9:K9))&lt;0,999.99,SUM($B$10:K10)/(SUM($B$6:K6)+SUM($B$9:K9))),"")</f>
        <v>0.4317645133614573</v>
      </c>
      <c r="L12" s="82">
        <f>IF(L13="Yes",IF(SUM($B$10:L10)/(SUM($B$6:L6)+SUM($B$9:L9))&lt;0,999.99,SUM($B$10:L10)/(SUM($B$6:L6)+SUM($B$9:L9))),"")</f>
        <v>0.4813981838953081</v>
      </c>
      <c r="M12" s="82">
        <f>IF(M13="Yes",IF(SUM($B$10:M10)/(SUM($B$6:M6)+SUM($B$9:M9))&lt;0,999.99,SUM($B$10:M10)/(SUM($B$6:M6)+SUM($B$9:M9))),"")</f>
        <v>0.5138095163980416</v>
      </c>
      <c r="N12" s="82">
        <f>IF(N13="Yes",IF(SUM($B$10:N10)/(SUM($B$6:N6)+SUM($B$9:N9))&lt;0,999.99,SUM($B$10:N10)/(SUM($B$6:N6)+SUM($B$9:N9))),"")</f>
        <v>0.5117258704205899</v>
      </c>
      <c r="O12" s="82">
        <f>IF(O13="Yes",IF(SUM($B$10:O10)/(SUM($B$6:O6)+SUM($B$9:O9))&lt;0,999.99,SUM($B$10:O10)/(SUM($B$6:O6)+SUM($B$9:O9))),"")</f>
        <v>0.4926377113612607</v>
      </c>
      <c r="P12" s="82">
        <f>IF(P13="Yes",IF(SUM($B$10:P10)/(SUM($B$6:P6)+SUM($B$9:P9))&lt;0,999.99,SUM($B$10:P10)/(SUM($B$6:P6)+SUM($B$9:P9))),"")</f>
        <v>0.5279060350048209</v>
      </c>
      <c r="Q12" s="82">
        <f>IF(Q13="Yes",IF(SUM($B$10:Q10)/(SUM($B$6:Q6)+SUM($B$9:Q9))&lt;0,999.99,SUM($B$10:Q10)/(SUM($B$6:Q6)+SUM($B$9:Q9))),"")</f>
        <v>0.5513435089314898</v>
      </c>
      <c r="R12" s="82">
        <f>IF(R13="Yes",IF(SUM($B$10:R10)/(SUM($B$6:R6)+SUM($B$9:R9))&lt;0,999.99,SUM($B$10:R10)/(SUM($B$6:R6)+SUM($B$9:R9))),"")</f>
        <v>0.5868672834424027</v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16452.99526524922</v>
      </c>
      <c r="C19" s="36">
        <f>O19</f>
        <v>18098.29479177414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16452.99526524922</v>
      </c>
      <c r="I19" s="36">
        <f>U19</f>
        <v>18098.29479177414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16452.99526524922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18098.29479177414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16452.99526524922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18098.29479177414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103653.8701710701</v>
      </c>
      <c r="AA19" s="36">
        <f>SUM(B19:M19)</f>
        <v>69102.58011404672</v>
      </c>
      <c r="AB19" s="36">
        <f>SUM(B19:Y19)</f>
        <v>138205.1602280934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26894.73684210526</v>
      </c>
      <c r="C24" s="36">
        <f>IFERROR(Calculations!$P14/12,"")</f>
        <v>26894.73684210526</v>
      </c>
      <c r="D24" s="36">
        <f>IFERROR(Calculations!$P14/12,"")</f>
        <v>26894.73684210526</v>
      </c>
      <c r="E24" s="36">
        <f>IFERROR(Calculations!$P14/12,"")</f>
        <v>26894.73684210526</v>
      </c>
      <c r="F24" s="36">
        <f>IFERROR(Calculations!$P14/12,"")</f>
        <v>26894.73684210526</v>
      </c>
      <c r="G24" s="36">
        <f>IFERROR(Calculations!$P14/12,"")</f>
        <v>26894.73684210526</v>
      </c>
      <c r="H24" s="36">
        <f>IFERROR(Calculations!$P14/12,"")</f>
        <v>26894.73684210526</v>
      </c>
      <c r="I24" s="36">
        <f>IFERROR(Calculations!$P14/12,"")</f>
        <v>26894.73684210526</v>
      </c>
      <c r="J24" s="36">
        <f>IFERROR(Calculations!$P14/12,"")</f>
        <v>26894.73684210526</v>
      </c>
      <c r="K24" s="36">
        <f>IFERROR(Calculations!$P14/12,"")</f>
        <v>26894.73684210526</v>
      </c>
      <c r="L24" s="36">
        <f>IFERROR(Calculations!$P14/12,"")</f>
        <v>26894.73684210526</v>
      </c>
      <c r="M24" s="36">
        <f>IFERROR(Calculations!$P14/12,"")</f>
        <v>26894.73684210526</v>
      </c>
      <c r="N24" s="36">
        <f>IFERROR(Calculations!$P14/12,"")</f>
        <v>26894.73684210526</v>
      </c>
      <c r="O24" s="36">
        <f>IFERROR(Calculations!$P14/12,"")</f>
        <v>26894.73684210526</v>
      </c>
      <c r="P24" s="36">
        <f>IFERROR(Calculations!$P14/12,"")</f>
        <v>26894.73684210526</v>
      </c>
      <c r="Q24" s="36">
        <f>IFERROR(Calculations!$P14/12,"")</f>
        <v>26894.73684210526</v>
      </c>
      <c r="R24" s="36">
        <f>IFERROR(Calculations!$P14/12,"")</f>
        <v>26894.73684210526</v>
      </c>
      <c r="S24" s="36">
        <f>IFERROR(Calculations!$P14/12,"")</f>
        <v>26894.73684210526</v>
      </c>
      <c r="T24" s="36">
        <f>IFERROR(Calculations!$P14/12,"")</f>
        <v>26894.73684210526</v>
      </c>
      <c r="U24" s="36">
        <f>IFERROR(Calculations!$P14/12,"")</f>
        <v>26894.73684210526</v>
      </c>
      <c r="V24" s="36">
        <f>IFERROR(Calculations!$P14/12,"")</f>
        <v>26894.73684210526</v>
      </c>
      <c r="W24" s="36">
        <f>IFERROR(Calculations!$P14/12,"")</f>
        <v>26894.73684210526</v>
      </c>
      <c r="X24" s="36">
        <f>IFERROR(Calculations!$P14/12,"")</f>
        <v>26894.73684210526</v>
      </c>
      <c r="Y24" s="36">
        <f>IFERROR(Calculations!$P14/12,"")</f>
        <v>26894.73684210526</v>
      </c>
      <c r="Z24" s="36">
        <f>SUMIF($B$13:$Y$13,"Yes",B24:Y24)</f>
        <v>457210.5263157896</v>
      </c>
      <c r="AA24" s="36">
        <f>SUM(B24:M24)</f>
        <v>322736.8421052631</v>
      </c>
      <c r="AB24" s="46">
        <f>SUM(B24:Y24)</f>
        <v>645473.6842105265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595000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78347.73210735449</v>
      </c>
      <c r="C30" s="19">
        <f>SUM(C18:C29)</f>
        <v>79993.03163387941</v>
      </c>
      <c r="D30" s="19">
        <f>SUM(D18:D29)</f>
        <v>61894.73684210527</v>
      </c>
      <c r="E30" s="19">
        <f>SUM(E18:E29)</f>
        <v>61894.73684210527</v>
      </c>
      <c r="F30" s="19">
        <f>SUM(F18:F29)</f>
        <v>61894.73684210527</v>
      </c>
      <c r="G30" s="19">
        <f>SUM(G18:G29)</f>
        <v>61894.73684210527</v>
      </c>
      <c r="H30" s="19">
        <f>SUM(H18:H29)</f>
        <v>78347.73210735449</v>
      </c>
      <c r="I30" s="19">
        <f>SUM(I18:I29)</f>
        <v>79993.03163387941</v>
      </c>
      <c r="J30" s="19">
        <f>SUM(J18:J29)</f>
        <v>61894.73684210527</v>
      </c>
      <c r="K30" s="19">
        <f>SUM(K18:K29)</f>
        <v>61894.73684210527</v>
      </c>
      <c r="L30" s="19">
        <f>SUM(L18:L29)</f>
        <v>61894.73684210527</v>
      </c>
      <c r="M30" s="19">
        <f>SUM(M18:M29)</f>
        <v>61894.73684210527</v>
      </c>
      <c r="N30" s="19">
        <f>SUM(N18:N29)</f>
        <v>78347.73210735449</v>
      </c>
      <c r="O30" s="19">
        <f>SUM(O18:O29)</f>
        <v>79993.03163387941</v>
      </c>
      <c r="P30" s="19">
        <f>SUM(P18:P29)</f>
        <v>61894.73684210527</v>
      </c>
      <c r="Q30" s="19">
        <f>SUM(Q18:Q29)</f>
        <v>61894.73684210527</v>
      </c>
      <c r="R30" s="19">
        <f>SUM(R18:R29)</f>
        <v>61894.73684210527</v>
      </c>
      <c r="S30" s="19">
        <f>SUM(S18:S29)</f>
        <v>61894.73684210527</v>
      </c>
      <c r="T30" s="19">
        <f>SUM(T18:T29)</f>
        <v>78347.73210735449</v>
      </c>
      <c r="U30" s="19">
        <f>SUM(U18:U29)</f>
        <v>79993.03163387941</v>
      </c>
      <c r="V30" s="19">
        <f>SUM(V18:V29)</f>
        <v>61894.73684210527</v>
      </c>
      <c r="W30" s="19">
        <f>SUM(W18:W29)</f>
        <v>61894.73684210527</v>
      </c>
      <c r="X30" s="19">
        <f>SUM(X18:X29)</f>
        <v>61894.73684210527</v>
      </c>
      <c r="Y30" s="19">
        <f>SUM(Y18:Y29)</f>
        <v>61894.73684210527</v>
      </c>
      <c r="Z30" s="19">
        <f>SUMIF($B$13:$Y$13,"Yes",B30:Y30)</f>
        <v>1155864.39648686</v>
      </c>
      <c r="AA30" s="19">
        <f>SUM(B30:M30)</f>
        <v>811839.4222193101</v>
      </c>
      <c r="AB30" s="19">
        <f>SUM(B30:Y30)</f>
        <v>1623678.844438619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6250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6250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6250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6250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18750</v>
      </c>
      <c r="AA42" s="36">
        <f>SUM(B42:M42)</f>
        <v>12500</v>
      </c>
      <c r="AB42" s="36">
        <f>SUM(B42:Y42)</f>
        <v>25000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6250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6250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6250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6250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18750</v>
      </c>
      <c r="AA44" s="36">
        <f>SUM(B44:M44)</f>
        <v>12500</v>
      </c>
      <c r="AB44" s="36">
        <f>SUM(B44:Y44)</f>
        <v>25000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7500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7500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7500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7500</v>
      </c>
      <c r="Y48" s="46">
        <f>SUM(Y49:Y53)</f>
        <v>0</v>
      </c>
      <c r="Z48" s="46">
        <f>SUMIF($B$13:$Y$13,"Yes",B48:Y48)</f>
        <v>22500</v>
      </c>
      <c r="AA48" s="46">
        <f>SUM(B48:M48)</f>
        <v>15000</v>
      </c>
      <c r="AB48" s="46">
        <f>SUM(B48:Y48)</f>
        <v>30000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7500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7500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7500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7500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22500</v>
      </c>
      <c r="AA50" s="46">
        <f>SUM(B50:M50)</f>
        <v>15000</v>
      </c>
      <c r="AB50" s="46">
        <f>SUM(B50:Y50)</f>
        <v>30000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621.8063214379902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621.8063214379902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621.8063214379902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621.8063214379902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1865.41896431397</v>
      </c>
      <c r="AA54" s="46">
        <f>SUM(B54:M54)</f>
        <v>1243.61264287598</v>
      </c>
      <c r="AB54" s="46">
        <f>SUM(B54:Y54)</f>
        <v>2487.225285751961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621.8063214379902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621.8063214379902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621.8063214379902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621.8063214379902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1865.41896431397</v>
      </c>
      <c r="AA56" s="46">
        <f>SUM(B56:M56)</f>
        <v>1243.61264287598</v>
      </c>
      <c r="AB56" s="46">
        <f>SUM(B56:Y56)</f>
        <v>2487.225285751961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32400</v>
      </c>
      <c r="C66" s="36">
        <f>O66</f>
        <v>24300</v>
      </c>
      <c r="D66" s="36">
        <f>P66</f>
        <v>32400</v>
      </c>
      <c r="E66" s="36">
        <f>Q66</f>
        <v>32400</v>
      </c>
      <c r="F66" s="36">
        <f>R66</f>
        <v>32400</v>
      </c>
      <c r="G66" s="36">
        <f>S66</f>
        <v>32400</v>
      </c>
      <c r="H66" s="36">
        <f>T66</f>
        <v>32400</v>
      </c>
      <c r="I66" s="36">
        <f>U66</f>
        <v>24300</v>
      </c>
      <c r="J66" s="36">
        <f>V66</f>
        <v>32400</v>
      </c>
      <c r="K66" s="36">
        <f>W66</f>
        <v>32400</v>
      </c>
      <c r="L66" s="36">
        <f>X66</f>
        <v>32400</v>
      </c>
      <c r="M66" s="36">
        <f>Y66</f>
        <v>32400</v>
      </c>
      <c r="N66" s="46">
        <f>SUM(N67:N71)</f>
        <v>32400</v>
      </c>
      <c r="O66" s="46">
        <f>SUM(O67:O71)</f>
        <v>24300</v>
      </c>
      <c r="P66" s="46">
        <f>SUM(P67:P71)</f>
        <v>32400</v>
      </c>
      <c r="Q66" s="46">
        <f>SUM(Q67:Q71)</f>
        <v>32400</v>
      </c>
      <c r="R66" s="46">
        <f>SUM(R67:R71)</f>
        <v>32400</v>
      </c>
      <c r="S66" s="46">
        <f>SUM(S67:S71)</f>
        <v>32400</v>
      </c>
      <c r="T66" s="46">
        <f>SUM(T67:T71)</f>
        <v>32400</v>
      </c>
      <c r="U66" s="46">
        <f>SUM(U67:U71)</f>
        <v>24300</v>
      </c>
      <c r="V66" s="46">
        <f>SUM(V67:V71)</f>
        <v>32400</v>
      </c>
      <c r="W66" s="46">
        <f>SUM(W67:W71)</f>
        <v>32400</v>
      </c>
      <c r="X66" s="46">
        <f>SUM(X67:X71)</f>
        <v>32400</v>
      </c>
      <c r="Y66" s="46">
        <f>SUM(Y67:Y71)</f>
        <v>32400</v>
      </c>
      <c r="Z66" s="46">
        <f>SUMIF($B$13:$Y$13,"Yes",B66:Y66)</f>
        <v>526500</v>
      </c>
      <c r="AA66" s="46">
        <f>SUM(B66:M66)</f>
        <v>372600</v>
      </c>
      <c r="AB66" s="46">
        <f>SUM(B66:Y66)</f>
        <v>745200</v>
      </c>
    </row>
    <row r="67" spans="1:30" hidden="true" outlineLevel="1">
      <c r="A67" s="181" t="str">
        <f>Calculations!$A$4</f>
        <v>Maize</v>
      </c>
      <c r="B67" s="36">
        <f>N67</f>
        <v>24300</v>
      </c>
      <c r="C67" s="36">
        <f>O67</f>
        <v>24300</v>
      </c>
      <c r="D67" s="36">
        <f>P67</f>
        <v>24300</v>
      </c>
      <c r="E67" s="36">
        <f>Q67</f>
        <v>24300</v>
      </c>
      <c r="F67" s="36">
        <f>R67</f>
        <v>24300</v>
      </c>
      <c r="G67" s="36">
        <f>S67</f>
        <v>24300</v>
      </c>
      <c r="H67" s="36">
        <f>T67</f>
        <v>24300</v>
      </c>
      <c r="I67" s="36">
        <f>U67</f>
        <v>24300</v>
      </c>
      <c r="J67" s="36">
        <f>V67</f>
        <v>24300</v>
      </c>
      <c r="K67" s="36">
        <f>W67</f>
        <v>24300</v>
      </c>
      <c r="L67" s="36">
        <f>X67</f>
        <v>24300</v>
      </c>
      <c r="M67" s="36">
        <f>Y67</f>
        <v>24300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24300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24300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24300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24300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24300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24300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24300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24300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24300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24300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24300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24300</v>
      </c>
      <c r="Z67" s="46">
        <f>SUMIF($B$13:$Y$13,"Yes",B67:Y67)</f>
        <v>413100</v>
      </c>
      <c r="AA67" s="46">
        <f>SUM(B67:M67)</f>
        <v>291600</v>
      </c>
      <c r="AB67" s="46">
        <f>SUM(B67:Y67)</f>
        <v>583200</v>
      </c>
    </row>
    <row r="68" spans="1:30" hidden="true" outlineLevel="1">
      <c r="A68" s="181" t="str">
        <f>Calculations!$A$5</f>
        <v>Beans</v>
      </c>
      <c r="B68" s="36">
        <f>N68</f>
        <v>8100</v>
      </c>
      <c r="C68" s="36">
        <f>O68</f>
        <v>0</v>
      </c>
      <c r="D68" s="36">
        <f>P68</f>
        <v>8100</v>
      </c>
      <c r="E68" s="36">
        <f>Q68</f>
        <v>8100</v>
      </c>
      <c r="F68" s="36">
        <f>R68</f>
        <v>8100</v>
      </c>
      <c r="G68" s="36">
        <f>S68</f>
        <v>8100</v>
      </c>
      <c r="H68" s="36">
        <f>T68</f>
        <v>8100</v>
      </c>
      <c r="I68" s="36">
        <f>U68</f>
        <v>0</v>
      </c>
      <c r="J68" s="36">
        <f>V68</f>
        <v>8100</v>
      </c>
      <c r="K68" s="36">
        <f>W68</f>
        <v>8100</v>
      </c>
      <c r="L68" s="36">
        <f>X68</f>
        <v>8100</v>
      </c>
      <c r="M68" s="36">
        <f>Y68</f>
        <v>8100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8100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8100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8100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8100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8100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8100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8100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8100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8100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8100</v>
      </c>
      <c r="Z68" s="46">
        <f>SUMIF($B$13:$Y$13,"Yes",B68:Y68)</f>
        <v>113400</v>
      </c>
      <c r="AA68" s="46">
        <f>SUM(B68:M68)</f>
        <v>81000</v>
      </c>
      <c r="AB68" s="46">
        <f>SUM(B68:Y68)</f>
        <v>162000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51708.33333333332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5666.666666666666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34000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85000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65000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65000</v>
      </c>
      <c r="AA80" s="46">
        <f>SUM(B80:M80)</f>
        <v>65000</v>
      </c>
      <c r="AB80" s="46">
        <f>SUM(B80:Y80)</f>
        <v>65000</v>
      </c>
    </row>
    <row r="81" spans="1:30">
      <c r="A81" s="43" t="s">
        <v>51</v>
      </c>
      <c r="B81" s="46">
        <f>(SUM($AA$18:$AA$29)-SUM($AA$36,$AA$42,$AA$48,$AA$54,$AA$60,$AA$66,$AA$72:$AA$79))*Parameters!$B$37/12</f>
        <v>9533.193652547796</v>
      </c>
      <c r="C81" s="46">
        <f>(SUM($AA$18:$AA$29)-SUM($AA$36,$AA$42,$AA$48,$AA$54,$AA$60,$AA$66,$AA$72:$AA$79))*Parameters!$B$37/12</f>
        <v>9533.193652547796</v>
      </c>
      <c r="D81" s="46">
        <f>(SUM($AA$18:$AA$29)-SUM($AA$36,$AA$42,$AA$48,$AA$54,$AA$60,$AA$66,$AA$72:$AA$79))*Parameters!$B$37/12</f>
        <v>9533.193652547796</v>
      </c>
      <c r="E81" s="46">
        <f>(SUM($AA$18:$AA$29)-SUM($AA$36,$AA$42,$AA$48,$AA$54,$AA$60,$AA$66,$AA$72:$AA$79))*Parameters!$B$37/12</f>
        <v>9533.193652547796</v>
      </c>
      <c r="F81" s="46">
        <f>(SUM($AA$18:$AA$29)-SUM($AA$36,$AA$42,$AA$48,$AA$54,$AA$60,$AA$66,$AA$72:$AA$79))*Parameters!$B$37/12</f>
        <v>9533.193652547796</v>
      </c>
      <c r="G81" s="46">
        <f>(SUM($AA$18:$AA$29)-SUM($AA$36,$AA$42,$AA$48,$AA$54,$AA$60,$AA$66,$AA$72:$AA$79))*Parameters!$B$37/12</f>
        <v>9533.193652547796</v>
      </c>
      <c r="H81" s="46">
        <f>(SUM($AA$18:$AA$29)-SUM($AA$36,$AA$42,$AA$48,$AA$54,$AA$60,$AA$66,$AA$72:$AA$79))*Parameters!$B$37/12</f>
        <v>9533.193652547796</v>
      </c>
      <c r="I81" s="46">
        <f>(SUM($AA$18:$AA$29)-SUM($AA$36,$AA$42,$AA$48,$AA$54,$AA$60,$AA$66,$AA$72:$AA$79))*Parameters!$B$37/12</f>
        <v>9533.193652547796</v>
      </c>
      <c r="J81" s="46">
        <f>(SUM($AA$18:$AA$29)-SUM($AA$36,$AA$42,$AA$48,$AA$54,$AA$60,$AA$66,$AA$72:$AA$79))*Parameters!$B$37/12</f>
        <v>9533.193652547796</v>
      </c>
      <c r="K81" s="46">
        <f>(SUM($AA$18:$AA$29)-SUM($AA$36,$AA$42,$AA$48,$AA$54,$AA$60,$AA$66,$AA$72:$AA$79))*Parameters!$B$37/12</f>
        <v>9533.193652547796</v>
      </c>
      <c r="L81" s="46">
        <f>(SUM($AA$18:$AA$29)-SUM($AA$36,$AA$42,$AA$48,$AA$54,$AA$60,$AA$66,$AA$72:$AA$79))*Parameters!$B$37/12</f>
        <v>9533.193652547796</v>
      </c>
      <c r="M81" s="46">
        <f>(SUM($AA$18:$AA$29)-SUM($AA$36,$AA$42,$AA$48,$AA$54,$AA$60,$AA$66,$AA$72:$AA$79))*Parameters!$B$37/12</f>
        <v>9533.193652547796</v>
      </c>
      <c r="N81" s="46">
        <f>(SUM($AA$18:$AA$29)-SUM($AA$36,$AA$42,$AA$48,$AA$54,$AA$60,$AA$66,$AA$72:$AA$79))*Parameters!$B$37/12</f>
        <v>9533.193652547796</v>
      </c>
      <c r="O81" s="46">
        <f>(SUM($AA$18:$AA$29)-SUM($AA$36,$AA$42,$AA$48,$AA$54,$AA$60,$AA$66,$AA$72:$AA$79))*Parameters!$B$37/12</f>
        <v>9533.193652547796</v>
      </c>
      <c r="P81" s="46">
        <f>(SUM($AA$18:$AA$29)-SUM($AA$36,$AA$42,$AA$48,$AA$54,$AA$60,$AA$66,$AA$72:$AA$79))*Parameters!$B$37/12</f>
        <v>9533.193652547796</v>
      </c>
      <c r="Q81" s="46">
        <f>(SUM($AA$18:$AA$29)-SUM($AA$36,$AA$42,$AA$48,$AA$54,$AA$60,$AA$66,$AA$72:$AA$79))*Parameters!$B$37/12</f>
        <v>9533.193652547796</v>
      </c>
      <c r="R81" s="46">
        <f>(SUM($AA$18:$AA$29)-SUM($AA$36,$AA$42,$AA$48,$AA$54,$AA$60,$AA$66,$AA$72:$AA$79))*Parameters!$B$37/12</f>
        <v>9533.193652547796</v>
      </c>
      <c r="S81" s="46">
        <f>(SUM($AA$18:$AA$29)-SUM($AA$36,$AA$42,$AA$48,$AA$54,$AA$60,$AA$66,$AA$72:$AA$79))*Parameters!$B$37/12</f>
        <v>9533.193652547796</v>
      </c>
      <c r="T81" s="46">
        <f>(SUM($AA$18:$AA$29)-SUM($AA$36,$AA$42,$AA$48,$AA$54,$AA$60,$AA$66,$AA$72:$AA$79))*Parameters!$B$37/12</f>
        <v>9533.193652547796</v>
      </c>
      <c r="U81" s="46">
        <f>(SUM($AA$18:$AA$29)-SUM($AA$36,$AA$42,$AA$48,$AA$54,$AA$60,$AA$66,$AA$72:$AA$79))*Parameters!$B$37/12</f>
        <v>9533.193652547796</v>
      </c>
      <c r="V81" s="46">
        <f>(SUM($AA$18:$AA$29)-SUM($AA$36,$AA$42,$AA$48,$AA$54,$AA$60,$AA$66,$AA$72:$AA$79))*Parameters!$B$37/12</f>
        <v>9533.193652547796</v>
      </c>
      <c r="W81" s="46">
        <f>(SUM($AA$18:$AA$29)-SUM($AA$36,$AA$42,$AA$48,$AA$54,$AA$60,$AA$66,$AA$72:$AA$79))*Parameters!$B$37/12</f>
        <v>9533.193652547796</v>
      </c>
      <c r="X81" s="46">
        <f>(SUM($AA$18:$AA$29)-SUM($AA$36,$AA$42,$AA$48,$AA$54,$AA$60,$AA$66,$AA$72:$AA$79))*Parameters!$B$37/12</f>
        <v>9533.193652547796</v>
      </c>
      <c r="Y81" s="46">
        <f>(SUM($AA$18:$AA$29)-SUM($AA$36,$AA$42,$AA$48,$AA$54,$AA$60,$AA$66,$AA$72:$AA$79))*Parameters!$B$37/12</f>
        <v>9533.193652547796</v>
      </c>
      <c r="Z81" s="46">
        <f>SUMIF($B$13:$Y$13,"Yes",B81:Y81)</f>
        <v>162064.2920933126</v>
      </c>
      <c r="AA81" s="46">
        <f>SUM(B81:M81)</f>
        <v>114398.3238305735</v>
      </c>
      <c r="AB81" s="46">
        <f>SUM(B81:Y81)</f>
        <v>228796.6476611472</v>
      </c>
    </row>
    <row r="82" spans="1:30">
      <c r="A82" s="16" t="s">
        <v>52</v>
      </c>
      <c r="B82" s="46">
        <f>SUM(B83:B87)</f>
        <v>9259.360730593608</v>
      </c>
      <c r="C82" s="46">
        <f>SUM(C83:C87)</f>
        <v>4057.305936073059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13316.66666666667</v>
      </c>
      <c r="AA82" s="46">
        <f>SUM(B82:M82)</f>
        <v>13316.66666666667</v>
      </c>
      <c r="AB82" s="46">
        <f>SUM(B82:Y82)</f>
        <v>13316.66666666667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9259.360730593608</v>
      </c>
      <c r="C84" s="46">
        <f>IF(Calculations!$E24&gt;COUNT(Output!$B$35:C$35),Calculations!$B24,IF(Calculations!$E24=COUNT(Output!$B$35:C$35),Inputs!$B57-Calculations!$C24*(Calculations!$E24-1)+Calculations!$D24,0))</f>
        <v>4057.305936073059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13316.66666666667</v>
      </c>
      <c r="AA84" s="46">
        <f>SUM(B84:M84)</f>
        <v>13316.66666666667</v>
      </c>
      <c r="AB84" s="46">
        <f>SUM(B84:Y84)</f>
        <v>13316.66666666667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62189.36070457939</v>
      </c>
      <c r="C88" s="19">
        <f>SUM(C72:C82,C66,C60,C54,C48,C42,C36)</f>
        <v>48265.49958862085</v>
      </c>
      <c r="D88" s="19">
        <f>SUM(D72:D82,D66,D60,D54,D48,D42,D36)</f>
        <v>58558.19365254779</v>
      </c>
      <c r="E88" s="19">
        <f>SUM(E72:E82,E66,E60,E54,E48,E42,E36)</f>
        <v>52308.19365254779</v>
      </c>
      <c r="F88" s="19">
        <f>SUM(F72:F82,F66,F60,F54,F48,F42,F36)</f>
        <v>59808.19365254779</v>
      </c>
      <c r="G88" s="19">
        <f>SUM(G72:G82,G66,G60,G54,G48,G42,G36)</f>
        <v>52308.19365254779</v>
      </c>
      <c r="H88" s="19">
        <f>SUM(H72:H82,H66,H60,H54,H48,H42,H36)</f>
        <v>52929.99997398578</v>
      </c>
      <c r="I88" s="19">
        <f>SUM(I72:I82,I66,I60,I54,I48,I42,I36)</f>
        <v>109208.1936525478</v>
      </c>
      <c r="J88" s="19">
        <f>SUM(J72:J82,J66,J60,J54,J48,J42,J36)</f>
        <v>58558.19365254779</v>
      </c>
      <c r="K88" s="19">
        <f>SUM(K72:K82,K66,K60,K54,K48,K42,K36)</f>
        <v>52308.19365254779</v>
      </c>
      <c r="L88" s="19">
        <f>SUM(L72:L82,L66,L60,L54,L48,L42,L36)</f>
        <v>59808.19365254779</v>
      </c>
      <c r="M88" s="19">
        <f>SUM(M72:M82,M66,M60,M54,M48,M42,M36)</f>
        <v>52308.19365254779</v>
      </c>
      <c r="N88" s="19">
        <f>SUM(N72:N82,N66,N60,N54,N48,N42,N36)</f>
        <v>52929.99997398578</v>
      </c>
      <c r="O88" s="19">
        <f>SUM(O72:O82,O66,O60,O54,O48,O42,O36)</f>
        <v>44208.19365254779</v>
      </c>
      <c r="P88" s="19">
        <f>SUM(P72:P82,P66,P60,P54,P48,P42,P36)</f>
        <v>58558.19365254779</v>
      </c>
      <c r="Q88" s="19">
        <f>SUM(Q72:Q82,Q66,Q60,Q54,Q48,Q42,Q36)</f>
        <v>52308.19365254779</v>
      </c>
      <c r="R88" s="19">
        <f>SUM(R72:R82,R66,R60,R54,R48,R42,R36)</f>
        <v>59808.19365254779</v>
      </c>
      <c r="S88" s="19">
        <f>SUM(S72:S82,S66,S60,S54,S48,S42,S36)</f>
        <v>52308.19365254779</v>
      </c>
      <c r="T88" s="19">
        <f>SUM(T72:T82,T66,T60,T54,T48,T42,T36)</f>
        <v>52929.99997398578</v>
      </c>
      <c r="U88" s="19">
        <f>SUM(U72:U82,U66,U60,U54,U48,U42,U36)</f>
        <v>44208.19365254779</v>
      </c>
      <c r="V88" s="19">
        <f>SUM(V72:V82,V66,V60,V54,V48,V42,V36)</f>
        <v>58558.19365254779</v>
      </c>
      <c r="W88" s="19">
        <f>SUM(W72:W82,W66,W60,W54,W48,W42,W36)</f>
        <v>52308.19365254779</v>
      </c>
      <c r="X88" s="19">
        <f>SUM(X72:X82,X66,X60,X54,X48,X42,X36)</f>
        <v>59808.19365254779</v>
      </c>
      <c r="Y88" s="19">
        <f>SUM(Y72:Y82,Y66,Y60,Y54,Y48,Y42,Y36)</f>
        <v>52308.19365254779</v>
      </c>
      <c r="Z88" s="19">
        <f>SUMIF($B$13:$Y$13,"Yes",B88:Y88)</f>
        <v>986371.377724293</v>
      </c>
      <c r="AA88" s="19">
        <f>SUM(B88:M88)</f>
        <v>718558.6031401161</v>
      </c>
      <c r="AB88" s="19">
        <f>SUM(B88:Y88)</f>
        <v>1358800.539613566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285000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63450000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174650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326650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2.5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35000</v>
      </c>
    </row>
    <row r="31" spans="1:48">
      <c r="A31" s="5" t="s">
        <v>118</v>
      </c>
      <c r="B31" s="158">
        <v>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 t="s">
        <v>124</v>
      </c>
      <c r="B35" s="159">
        <v>65000</v>
      </c>
      <c r="C35" s="145" t="s">
        <v>125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650000</v>
      </c>
    </row>
    <row r="46" spans="1:48" customHeight="1" ht="30">
      <c r="A46" s="57" t="s">
        <v>134</v>
      </c>
      <c r="B46" s="161">
        <v>450000</v>
      </c>
    </row>
    <row r="47" spans="1:48" customHeight="1" ht="30">
      <c r="A47" s="57" t="s">
        <v>135</v>
      </c>
      <c r="B47" s="161">
        <v>285000</v>
      </c>
    </row>
    <row r="48" spans="1:48" customHeight="1" ht="30">
      <c r="A48" s="57" t="s">
        <v>136</v>
      </c>
      <c r="B48" s="161">
        <v>1200000</v>
      </c>
    </row>
    <row r="49" spans="1:48" customHeight="1" ht="30">
      <c r="A49" s="57" t="s">
        <v>137</v>
      </c>
      <c r="B49" s="161">
        <v>65000</v>
      </c>
    </row>
    <row r="50" spans="1:48">
      <c r="A50" s="43"/>
      <c r="B50" s="36"/>
    </row>
    <row r="51" spans="1:48">
      <c r="A51" s="58" t="s">
        <v>138</v>
      </c>
      <c r="B51" s="161">
        <v>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165000</v>
      </c>
      <c r="B56" s="159">
        <v>165000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100000</v>
      </c>
      <c r="B57" s="157">
        <v>9650</v>
      </c>
      <c r="C57" s="164" t="s">
        <v>149</v>
      </c>
      <c r="D57" s="165" t="s">
        <v>150</v>
      </c>
      <c r="E57" s="165" t="s">
        <v>92</v>
      </c>
      <c r="F57" s="165" t="s">
        <v>151</v>
      </c>
    </row>
    <row r="58" spans="1:48">
      <c r="A58" s="157">
        <v>1119000</v>
      </c>
      <c r="B58" s="157">
        <v>0</v>
      </c>
      <c r="C58" s="164" t="s">
        <v>152</v>
      </c>
      <c r="D58" s="165" t="s">
        <v>153</v>
      </c>
      <c r="E58" s="165" t="s">
        <v>92</v>
      </c>
      <c r="F58" s="165" t="s">
        <v>154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156</v>
      </c>
      <c r="C65" s="10" t="s">
        <v>157</v>
      </c>
    </row>
    <row r="66" spans="1:48">
      <c r="A66" s="142" t="s">
        <v>158</v>
      </c>
      <c r="B66" s="159">
        <v>107800</v>
      </c>
      <c r="C66" s="163">
        <v>15627</v>
      </c>
      <c r="D66" s="49">
        <f>INDEX(Parameters!$D$79:$D$90,MATCH(Inputs!A66,Parameters!$C$79:$C$90,0))</f>
        <v>6</v>
      </c>
    </row>
    <row r="67" spans="1:48">
      <c r="A67" s="143" t="s">
        <v>159</v>
      </c>
      <c r="B67" s="157">
        <v>368530</v>
      </c>
      <c r="C67" s="165">
        <v>354719</v>
      </c>
      <c r="D67" s="49">
        <f>INDEX(Parameters!$D$79:$D$90,MATCH(Inputs!A67,Parameters!$C$79:$C$90,0))</f>
        <v>5</v>
      </c>
    </row>
    <row r="68" spans="1:48">
      <c r="A68" s="143" t="s">
        <v>160</v>
      </c>
      <c r="B68" s="157">
        <v>37538</v>
      </c>
      <c r="C68" s="165">
        <v>31192</v>
      </c>
      <c r="D68" s="49">
        <f>INDEX(Parameters!$D$79:$D$90,MATCH(Inputs!A68,Parameters!$C$79:$C$90,0))</f>
        <v>4</v>
      </c>
    </row>
    <row r="69" spans="1:48">
      <c r="A69" s="143" t="s">
        <v>161</v>
      </c>
      <c r="B69" s="157">
        <v>52426</v>
      </c>
      <c r="C69" s="165">
        <v>51237</v>
      </c>
      <c r="D69" s="49">
        <f>INDEX(Parameters!$D$79:$D$90,MATCH(Inputs!A69,Parameters!$C$79:$C$90,0))</f>
        <v>3</v>
      </c>
    </row>
    <row r="70" spans="1:48">
      <c r="A70" s="143" t="s">
        <v>162</v>
      </c>
      <c r="B70" s="157">
        <v>41859</v>
      </c>
      <c r="C70" s="165">
        <v>62877</v>
      </c>
      <c r="D70" s="49">
        <f>INDEX(Parameters!$D$79:$D$90,MATCH(Inputs!A70,Parameters!$C$79:$C$90,0))</f>
        <v>2</v>
      </c>
    </row>
    <row r="71" spans="1:48">
      <c r="A71" s="144" t="s">
        <v>125</v>
      </c>
      <c r="B71" s="158">
        <v>121013</v>
      </c>
      <c r="C71" s="167">
        <v>128947</v>
      </c>
      <c r="D71" s="49">
        <f>INDEX(Parameters!$D$79:$D$90,MATCH(Inputs!A71,Parameters!$C$79:$C$90,0))</f>
        <v>1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7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150000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15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7.5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7122.130396201376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134608.264488206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2272.5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16380.89991126316</v>
      </c>
      <c r="AB4" s="33">
        <f>H4*IFERROR(INDEX(Parameters!$A$3:$AI$17,MATCH(Calculations!A4,Parameters!$A$3:$A$17,0),MATCH(Parameters!$O$3,Parameters!$A$3:$AI$3,0)),AVERAGE(Parameters!$O$4:$O$17))*(1-Inputs!$B$25/100)</f>
        <v>81000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2.5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1492.335171451176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65811.98106099688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6250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7500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621.8063214379902</v>
      </c>
      <c r="AB5" s="34">
        <f>H5*IFERROR(INDEX(Parameters!$A$3:$AI$17,MATCH(Calculations!A5,Parameters!$A$3:$A$17,0),MATCH(Parameters!$O$3,Parameters!$A$3:$AI$3,0)),AVERAGE(Parameters!$O$4:$O$17))*(1-Inputs!$B$25/100)</f>
        <v>45000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322736.8421052631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165000</v>
      </c>
      <c r="B23" s="75">
        <f>SUM(C23:D23)</f>
        <v>3025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3025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9259.360730593608</v>
      </c>
      <c r="C24" s="46">
        <f>IF(Inputs!B57&gt;0,(Inputs!A57-Inputs!B57)/(DATE(YEAR(Inputs!$B$76),MONTH(Inputs!$B$76),DAY(Inputs!$B$76))-DATE(YEAR(Inputs!C57),MONTH(Inputs!C57),DAY(Inputs!C57)))*30,0)</f>
        <v>7426.027397260274</v>
      </c>
      <c r="D24" s="46">
        <f>IF(Inputs!B57&gt;0,Inputs!A57*0.22/12,0)</f>
        <v>1833.333333333333</v>
      </c>
      <c r="E24" s="46">
        <f>IFERROR(ROUNDUP(Inputs!B57/B24,0),0)</f>
        <v>2</v>
      </c>
      <c r="H24" s="1"/>
    </row>
    <row r="25" spans="1:52">
      <c r="A25" s="46">
        <f>Inputs!A58</f>
        <v>1119000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42951</v>
      </c>
      <c r="C33" s="27">
        <f>IF(B33&lt;&gt;"",IF(COUNT($A$33:A33)&lt;=$G$39,0,$G$41)+IF(COUNT($A$33:A33)&lt;=$G$40,0,$G$42),0)</f>
        <v>12500</v>
      </c>
      <c r="D33" s="170">
        <f>IFERROR(DATE(YEAR(B33),MONTH(B33),1)," ")</f>
        <v>42948</v>
      </c>
      <c r="F33" t="s">
        <v>168</v>
      </c>
      <c r="G33" s="128">
        <f>IF(Inputs!B79="","",DATE(YEAR(Inputs!B79),MONTH(Inputs!B79),DAY(Inputs!B79)))</f>
        <v>42914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42982</v>
      </c>
      <c r="C34" s="27">
        <f>IF(B34&lt;&gt;"",IF(COUNT($A$33:A34)&lt;=$G$39,0,$G$41)+IF(COUNT($A$33:A34)&lt;=$G$40,0,$G$42),0)</f>
        <v>12500</v>
      </c>
      <c r="D34" s="170">
        <f>IFERROR(DATE(YEAR(B34),MONTH(B34),1)," ")</f>
        <v>42979</v>
      </c>
      <c r="F34" t="s">
        <v>169</v>
      </c>
      <c r="G34" s="128">
        <f>IF(Inputs!B80="","",DATE(YEAR(Inputs!B80),MONTH(Inputs!B80),DAY(Inputs!B80)))</f>
        <v>42951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43012</v>
      </c>
      <c r="C35" s="27">
        <f>IF(B35&lt;&gt;"",IF(COUNT($A$33:A35)&lt;=$G$39,0,$G$41)+IF(COUNT($A$33:A35)&lt;=$G$40,0,$G$42),0)</f>
        <v>12500</v>
      </c>
      <c r="D35" s="170">
        <f>IFERROR(DATE(YEAR(B35),MONTH(B35),1)," ")</f>
        <v>43009</v>
      </c>
      <c r="F35" t="s">
        <v>171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43043</v>
      </c>
      <c r="C36" s="27">
        <f>IF(B36&lt;&gt;"",IF(COUNT($A$33:A36)&lt;=$G$39,0,$G$41)+IF(COUNT($A$33:A36)&lt;=$G$40,0,$G$42),0)</f>
        <v>12500</v>
      </c>
      <c r="D36" s="170">
        <f>IFERROR(DATE(YEAR(B36),MONTH(B36),1)," ")</f>
        <v>43040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43073</v>
      </c>
      <c r="C37" s="27">
        <f>IF(B37&lt;&gt;"",IF(COUNT($A$33:A37)&lt;=$G$39,0,$G$41)+IF(COUNT($A$33:A37)&lt;=$G$40,0,$G$42),0)</f>
        <v>12500</v>
      </c>
      <c r="D37" s="170">
        <f>IFERROR(DATE(YEAR(B37),MONTH(B37),1)," ")</f>
        <v>43070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43104</v>
      </c>
      <c r="C38" s="27">
        <f>IF(B38&lt;&gt;"",IF(COUNT($A$33:A38)&lt;=$G$39,0,$G$41)+IF(COUNT($A$33:A38)&lt;=$G$40,0,$G$42),0)</f>
        <v>12500</v>
      </c>
      <c r="D38" s="170">
        <f>IFERROR(DATE(YEAR(B38),MONTH(B38),1)," ")</f>
        <v>43101</v>
      </c>
      <c r="F38" t="s">
        <v>234</v>
      </c>
      <c r="G38" s="27">
        <f>IFERROR(Inputs!B85/Inputs!B84,"")</f>
        <v>15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43135</v>
      </c>
      <c r="C39" s="27">
        <f>IF(B39&lt;&gt;"",IF(COUNT($A$33:A39)&lt;=$G$39,0,$G$41)+IF(COUNT($A$33:A39)&lt;=$G$40,0,$G$42),0)</f>
        <v>12500</v>
      </c>
      <c r="D39" s="170">
        <f>IFERROR(DATE(YEAR(B39),MONTH(B39),1)," ")</f>
        <v>43132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43163</v>
      </c>
      <c r="C40" s="27">
        <f>IF(B40&lt;&gt;"",IF(COUNT($A$33:A40)&lt;=$G$39,0,$G$41)+IF(COUNT($A$33:A40)&lt;=$G$40,0,$G$42),0)</f>
        <v>12500</v>
      </c>
      <c r="D40" s="170">
        <f>IFERROR(DATE(YEAR(B40),MONTH(B40),1)," ")</f>
        <v>43160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43194</v>
      </c>
      <c r="C41" s="27">
        <f>IF(B41&lt;&gt;"",IF(COUNT($A$33:A41)&lt;=$G$39,0,$G$41)+IF(COUNT($A$33:A41)&lt;=$G$40,0,$G$42),0)</f>
        <v>12500</v>
      </c>
      <c r="D41" s="170">
        <f>IFERROR(DATE(YEAR(B41),MONTH(B41),1)," ")</f>
        <v>43191</v>
      </c>
      <c r="F41" t="s">
        <v>235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43224</v>
      </c>
      <c r="C42" s="27">
        <f>IF(B42&lt;&gt;"",IF(COUNT($A$33:A42)&lt;=$G$39,0,$G$41)+IF(COUNT($A$33:A42)&lt;=$G$40,0,$G$42),0)</f>
        <v>12500</v>
      </c>
      <c r="D42" s="170">
        <f>IFERROR(DATE(YEAR(B42),MONTH(B42),1)," ")</f>
        <v>43221</v>
      </c>
      <c r="F42" t="s">
        <v>236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43255</v>
      </c>
      <c r="C43" s="27">
        <f>IF(B43&lt;&gt;"",IF(COUNT($A$33:A43)&lt;=$G$39,0,$G$41)+IF(COUNT($A$33:A43)&lt;=$G$40,0,$G$42),0)</f>
        <v>12500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43285</v>
      </c>
      <c r="C44" s="27">
        <f>IF(B44&lt;&gt;"",IF(COUNT($A$33:A44)&lt;=$G$39,0,$G$41)+IF(COUNT($A$33:A44)&lt;=$G$40,0,$G$42),0)</f>
        <v>12500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43316</v>
      </c>
      <c r="C45" s="27">
        <f>IF(B45&lt;&gt;"",IF(COUNT($A$33:A45)&lt;=$G$39,0,$G$41)+IF(COUNT($A$33:A45)&lt;=$G$40,0,$G$42),0)</f>
        <v>12500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43347</v>
      </c>
      <c r="C46" s="27">
        <f>IF(B46&lt;&gt;"",IF(COUNT($A$33:A46)&lt;=$G$39,0,$G$41)+IF(COUNT($A$33:A46)&lt;=$G$40,0,$G$42),0)</f>
        <v>12500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43377</v>
      </c>
      <c r="C47" s="27">
        <f>IF(B47&lt;&gt;"",IF(COUNT($A$33:A47)&lt;=$G$39,0,$G$41)+IF(COUNT($A$33:A47)&lt;=$G$40,0,$G$42),0)</f>
        <v>12500</v>
      </c>
      <c r="D47" s="170">
        <f>IFERROR(DATE(YEAR(B47),MONTH(B47),1)," ")</f>
        <v>43374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322</v>
      </c>
      <c r="I52" s="12" t="s">
        <v>131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237</v>
      </c>
      <c r="E53" s="10" t="s">
        <v>196</v>
      </c>
      <c r="F53" s="10" t="s">
        <v>256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174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233</v>
      </c>
      <c r="J76" s="11" t="s">
        <v>355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93</v>
      </c>
      <c r="F77" s="12" t="s">
        <v>93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111</v>
      </c>
      <c r="H78" s="12" t="s">
        <v>131</v>
      </c>
      <c r="I78" s="12" t="s">
        <v>363</v>
      </c>
      <c r="J78" s="70" t="s">
        <v>364</v>
      </c>
      <c r="K78" s="12" t="s">
        <v>93</v>
      </c>
      <c r="AJ78" s="12"/>
    </row>
    <row r="79" spans="1:36">
      <c r="B79" s="176">
        <v>10</v>
      </c>
      <c r="C79" s="12" t="s">
        <v>125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174</v>
      </c>
      <c r="J79" s="70" t="s">
        <v>368</v>
      </c>
      <c r="K79" s="12" t="s">
        <v>93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369</v>
      </c>
      <c r="F80" s="12" t="s">
        <v>370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161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374</v>
      </c>
      <c r="D88" s="12">
        <f>D87+1</f>
        <v>10</v>
      </c>
    </row>
    <row r="89" spans="1:36">
      <c r="C89" s="12" t="s">
        <v>375</v>
      </c>
      <c r="D89" s="12">
        <f>D88+1</f>
        <v>11</v>
      </c>
    </row>
    <row r="90" spans="1:36">
      <c r="C90" s="12" t="s">
        <v>376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