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<sst xmlns="http://schemas.openxmlformats.org/spreadsheetml/2006/main" uniqueCount="376">
  <si>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</si>
  <si>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</si>
  <si>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</si>
  <si>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</si>
  <si>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</si>
  <si>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</si>
  <si>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</si>
  <si>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</si>
  <si>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</si>
  <si>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</si>
  <si>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</si>
  <si>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</si>
  <si>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</si>
  <si>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</si>
  <si>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</si>
  <si>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</si>
  <si>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</si>
  <si>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</si>
  <si>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</si>
  <si>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</si>
  <si>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</si>
  <si>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</si>
  <si>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</si>
  <si>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</si>
  <si>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</si>
  <si>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</si>
  <si>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</si>
  <si>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</si>
  <si>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</si>
  <si>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</si>
  <si>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</si>
  <si>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</si>
  <si>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</si>
  <si>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</si>
  <si>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</si>
  <si>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</si>
  <si>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</si>
  <si>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</si>
  <si>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</si>
  <si>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</si>
  <si>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</si>
  <si>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</si>
  <si>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</si>
  <si>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</si>
  <si>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</si>
  <si>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</si>
  <si>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</si>
  <si>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</si>
  <si>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</si>
  <si>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</si>
  <si>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</si>
  <si>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</si>
  <si>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</si>
  <si>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</si>
  <si>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</si>
  <si>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</si>
  <si>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</si>
  <si>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</si>
  <si>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</si>
  <si>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</si>
  <si>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</si>
  <si>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</si>
  <si>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</si>
  <si>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</si>
  <si>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</si>
  <si>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</si>
  <si>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</si>
  <si>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</si>
  <si>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</si>
  <si>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</si>
  <si>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</si>
  <si>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</si>
  <si>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</si>
  <si>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</si>
  <si>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</si>
  <si>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</si>
  <si>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</si>
  <si>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</si>
  <si>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</si>
  <si>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</si>
  <si>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</si>
  <si>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</si>
  <si>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</si>
  <si>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</si>
  <si>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</si>
  <si>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</si>
  <si>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</si>
  <si>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</si>
  <si>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</si>
  <si>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</si>
  <si>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</si>
  <si>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</si>
  <si>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</si>
  <si>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</si>
  <si>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September</t>
  </si>
  <si>
    <t>Other crops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</si>
  <si>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</si>
  <si>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</si>
  <si>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</si>
  <si>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</si>
  <si>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</si>
  <si>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</si>
  <si>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</si>
  <si>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</si>
  <si>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</si>
  <si>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</si>
  <si>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</si>
  <si>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</si>
  <si>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</si>
  <si>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</si>
  <si>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</si>
  <si>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</si>
  <si>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</si>
  <si>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</si>
  <si>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</si>
  <si>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</si>
  <si>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</si>
  <si>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Mobile phones shop and Mpesa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</si>
  <si>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</si>
  <si>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</si>
  <si>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</si>
  <si>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</si>
  <si>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</si>
  <si>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</si>
  <si>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</si>
  <si>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Paying for plot purchased </t>
  </si>
  <si>
    <t>October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</si>
  <si>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</si>
  <si>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</si>
  <si>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</si>
  <si>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</si>
  <si>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</si>
  <si>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</si>
  <si>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</si>
  <si>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</si>
  <si>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</si>
  <si>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</si>
  <si>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</si>
  <si>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</si>
  <si>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</si>
  <si>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</si>
  <si>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</si>
  <si>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</si>
  <si>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</si>
  <si>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</si>
  <si>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</si>
  <si>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</si>
  <si>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5/13/2017</t>
  </si>
  <si>
    <t xml:space="preserve">equity bank </t>
  </si>
  <si>
    <t xml:space="preserve">used money to pay for a plot </t>
  </si>
  <si>
    <t>11/20/2015</t>
  </si>
  <si>
    <t xml:space="preserve">vision Africa sacco </t>
  </si>
  <si>
    <t xml:space="preserve">being paid </t>
  </si>
  <si>
    <t>2/5/2015</t>
  </si>
  <si>
    <t xml:space="preserve">cleared </t>
  </si>
  <si>
    <t>7/8/2016</t>
  </si>
  <si>
    <t>10/6/2015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</si>
  <si>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</si>
  <si>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</si>
  <si>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</si>
  <si>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</si>
  <si>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</si>
  <si>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</si>
  <si>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</si>
  <si>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</si>
  <si>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</si>
  <si>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</si>
  <si>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</si>
  <si>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</si>
  <si>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2017/6/30</t>
  </si>
  <si>
    <t>Loan terms</t>
  </si>
  <si>
    <t>Expected disbursement date</t>
  </si>
  <si>
    <t>Expected first repayment date</t>
  </si>
  <si>
    <t>2017/7/30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</si>
  <si>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</si>
  <si>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</si>
  <si>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</si>
  <si>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</si>
  <si>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</si>
  <si>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</si>
  <si>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</si>
  <si>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</si>
  <si>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</si>
  <si>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</si>
  <si>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</si>
  <si>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</si>
  <si>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</si>
  <si>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</si>
  <si>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</si>
  <si>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</si>
  <si>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</si>
  <si>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</si>
  <si>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</si>
  <si>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</si>
  <si>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</si>
  <si>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</si>
  <si>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</si>
  <si>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</si>
  <si>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</si>
  <si>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</si>
  <si>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</si>
  <si>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</si>
  <si>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</si>
  <si>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</si>
  <si>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</si>
  <si>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</si>
  <si>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</si>
  <si>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</si>
  <si>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</si>
  <si>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</si>
  <si>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</si>
  <si>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</si>
  <si>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</si>
  <si>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</si>
  <si>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</si>
  <si>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</si>
  <si>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</si>
  <si>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</si>
  <si>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</si>
  <si>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</si>
  <si>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</si>
  <si>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</si>
  <si>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</si>
  <si>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</si>
  <si>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</si>
  <si>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</si>
  <si>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</si>
  <si>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</si>
  <si>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</si>
  <si>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</si>
  <si>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</si>
  <si>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</si>
  <si>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</si>
  <si>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</si>
  <si>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</si>
  <si>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</si>
  <si>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</si>
  <si>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</si>
  <si>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</si>
  <si>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</si>
  <si>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</si>
  <si>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</si>
  <si>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</si>
  <si>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</si>
  <si>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</si>
  <si>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</si>
  <si>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</si>
  <si>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</si>
  <si>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</si>
  <si>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</si>
  <si>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</si>
  <si>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</si>
  <si>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</si>
  <si>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</si>
  <si>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</si>
  <si>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</si>
  <si>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</si>
  <si>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</si>
  <si>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</si>
  <si>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</si>
  <si>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</si>
  <si>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</si>
  <si>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</si>
  <si>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</si>
  <si>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</si>
  <si>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</si>
  <si>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</si>
  <si>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</si>
  <si>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</si>
  <si>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</si>
  <si>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</si>
  <si>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</si>
  <si>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</si>
  <si>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</si>
  <si>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</si>
  <si>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</si>
  <si>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</si>
  <si>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</si>
  <si>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</si>
  <si>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</si>
  <si>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</si>
  <si>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</si>
  <si>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</si>
  <si>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</si>
  <si>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</si>
  <si>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</si>
  <si>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</si>
  <si>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</si>
  <si>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</si>
  <si>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</si>
  <si>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</si>
  <si>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</si>
  <si>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</si>
  <si>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</si>
  <si>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</si>
  <si>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</si>
  <si>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</si>
  <si>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</si>
  <si>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</si>
  <si>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</si>
  <si>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</si>
  <si>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</si>
  <si>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</si>
  <si>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</si>
  <si>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</si>
  <si>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</si>
  <si>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</si>
  <si>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</si>
  <si>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</si>
  <si>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</si>
  <si>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</si>
  <si>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</si>
  <si>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</si>
  <si>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</si>
  <si>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</si>
  <si>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</si>
  <si>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</si>
  <si>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</si>
  <si>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</si>
  <si>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</si>
  <si>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</si>
  <si>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</si>
  <si>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</si>
  <si>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</si>
  <si>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</si>
  <si>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</si>
  <si>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</si>
  <si>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</si>
  <si>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</si>
  <si>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</si>
  <si>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</si>
  <si>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</si>
  <si>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</si>
  <si>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</si>
  <si>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</si>
  <si>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</si>
  <si>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</si>
  <si>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</si>
  <si>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</si>
  <si>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</si>
  <si>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</si>
  <si>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</si>
  <si>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</si>
  <si>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</si>
  <si>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</si>
  <si>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</si>
  <si>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</si>
  <si>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</si>
  <si>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</si>
  <si>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</si>
  <si>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</si>
  <si>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</si>
  <si>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</si>
  <si>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</si>
  <si>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</si>
  <si>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</si>
  <si>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</si>
  <si>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</si>
  <si>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</si>
  <si>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</si>
  <si>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</si>
  <si>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</si>
  <si>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</si>
  <si>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</si>
  <si>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</si>
  <si>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</si>
  <si>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</si>
  <si>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</si>
  <si>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</si>
  <si>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</si>
  <si>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</si>
  <si>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</si>
  <si>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</si>
  <si>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July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</si>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</sst>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Mobile phones shop and Mpesa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0.2417810800465894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0.07168565418594867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433593.4175781764</v>
      </c>
    </row>
    <row r="18" spans="1:7">
      <c r="B18" s="1" t="s">
        <v>12</v>
      </c>
      <c r="C18" s="36">
        <f>MIN(Output!B6:M6)</f>
        <v>-111337.4665442544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129719.8102178434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38662.53345574556</v>
      </c>
      <c r="C6" s="51">
        <f>C30-C88</f>
        <v>129719.8102178434</v>
      </c>
      <c r="D6" s="51">
        <f>D30-D88</f>
        <v>38198.53345574556</v>
      </c>
      <c r="E6" s="51">
        <f>E30-E88</f>
        <v>12662.53345574558</v>
      </c>
      <c r="F6" s="51">
        <f>F30-F88</f>
        <v>-111337.4665442544</v>
      </c>
      <c r="G6" s="51">
        <f>G30-G88</f>
        <v>34362.53345574556</v>
      </c>
      <c r="H6" s="51">
        <f>H30-H88</f>
        <v>38662.53345574556</v>
      </c>
      <c r="I6" s="51">
        <f>I30-I88</f>
        <v>129719.8102178434</v>
      </c>
      <c r="J6" s="51">
        <f>J30-J88</f>
        <v>40198.53345574556</v>
      </c>
      <c r="K6" s="51">
        <f>K30-K88</f>
        <v>3070.696721051674</v>
      </c>
      <c r="L6" s="51">
        <f>L30-L88</f>
        <v>41986.68311560951</v>
      </c>
      <c r="M6" s="51">
        <f>M30-M88</f>
        <v>37686.68311560951</v>
      </c>
      <c r="N6" s="51">
        <f>N30-N88</f>
        <v>41986.68311560951</v>
      </c>
      <c r="O6" s="51">
        <f>O30-O88</f>
        <v>133043.9598777073</v>
      </c>
      <c r="P6" s="51">
        <f>P30-P88</f>
        <v>41522.68311560951</v>
      </c>
      <c r="Q6" s="51">
        <f>Q30-Q88</f>
        <v>15986.68311560951</v>
      </c>
      <c r="R6" s="51">
        <f>R30-R88</f>
        <v>41986.68311560951</v>
      </c>
      <c r="S6" s="51">
        <f>S30-S88</f>
        <v>46436.68311560951</v>
      </c>
      <c r="T6" s="51">
        <f>T30-T88</f>
        <v>41986.68311560951</v>
      </c>
      <c r="U6" s="51">
        <f>U30-U88</f>
        <v>133043.9598777073</v>
      </c>
      <c r="V6" s="51">
        <f>V30-V88</f>
        <v>43522.68311560951</v>
      </c>
      <c r="W6" s="51">
        <f>W30-W88</f>
        <v>15986.68311560951</v>
      </c>
      <c r="X6" s="51">
        <f>X30-X88</f>
        <v>41986.68311560951</v>
      </c>
      <c r="Y6" s="51">
        <f>Y30-Y88</f>
        <v>37686.68311560951</v>
      </c>
      <c r="Z6" s="51">
        <f>SUMIF($B$13:$Y$13,"Yes",B6:Y6)</f>
        <v>475580.1006937859</v>
      </c>
      <c r="AA6" s="51">
        <f>AA30-AA88</f>
        <v>433593.4175781761</v>
      </c>
      <c r="AB6" s="51">
        <f>AB30-AB88</f>
        <v>1068770.168489689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-200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500</v>
      </c>
      <c r="M7" s="80">
        <f>IF(ISERROR(VLOOKUP(MONTH(M5),Inputs!$D$66:$D$71,1,0)),"",INDEX(Inputs!$B$66:$B$71,MATCH(MONTH(Output!M5),Inputs!$D$66:$D$71,0))-INDEX(Inputs!$C$66:$C$71,MATCH(MONTH(Output!M5),Inputs!$D$66:$D$71,0)))</f>
        <v>-500</v>
      </c>
      <c r="N7" s="80">
        <f>IF(ISERROR(VLOOKUP(MONTH(N5),Inputs!$D$66:$D$71,1,0)),"",INDEX(Inputs!$B$66:$B$71,MATCH(MONTH(Output!N5),Inputs!$D$66:$D$71,0))-INDEX(Inputs!$C$66:$C$71,MATCH(MONTH(Output!N5),Inputs!$D$66:$D$71,0)))</f>
        <v>1000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-200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500</v>
      </c>
      <c r="Y7" s="80">
        <f>IF(ISERROR(VLOOKUP(MONTH(Y5),Inputs!$D$66:$D$71,1,0)),"",INDEX(Inputs!$B$66:$B$71,MATCH(MONTH(Output!Y5),Inputs!$D$66:$D$71,0))-INDEX(Inputs!$C$66:$C$71,MATCH(MONTH(Output!Y5),Inputs!$D$66:$D$71,0)))</f>
        <v>-500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158662.5334557455</v>
      </c>
      <c r="C11" s="80">
        <f>C6+C9-C10</f>
        <v>117719.8102178434</v>
      </c>
      <c r="D11" s="80">
        <f>D6+D9-D10</f>
        <v>26198.53345574556</v>
      </c>
      <c r="E11" s="80">
        <f>E6+E9-E10</f>
        <v>662.533455745579</v>
      </c>
      <c r="F11" s="80">
        <f>F6+F9-F10</f>
        <v>-123337.4665442544</v>
      </c>
      <c r="G11" s="80">
        <f>G6+G9-G10</f>
        <v>22362.53345574556</v>
      </c>
      <c r="H11" s="80">
        <f>H6+H9-H10</f>
        <v>26662.53345574556</v>
      </c>
      <c r="I11" s="80">
        <f>I6+I9-I10</f>
        <v>117719.8102178434</v>
      </c>
      <c r="J11" s="80">
        <f>J6+J9-J10</f>
        <v>28198.53345574556</v>
      </c>
      <c r="K11" s="80">
        <f>K6+K9-K10</f>
        <v>-8929.303278948326</v>
      </c>
      <c r="L11" s="80">
        <f>L6+L9-L10</f>
        <v>29986.68311560951</v>
      </c>
      <c r="M11" s="80">
        <f>M6+M9-M10</f>
        <v>25686.68311560951</v>
      </c>
      <c r="N11" s="80">
        <f>N6+N9-N10</f>
        <v>29986.68311560951</v>
      </c>
      <c r="O11" s="80">
        <f>O6+O9-O10</f>
        <v>133043.9598777073</v>
      </c>
      <c r="P11" s="80">
        <f>P6+P9-P10</f>
        <v>41522.68311560951</v>
      </c>
      <c r="Q11" s="80">
        <f>Q6+Q9-Q10</f>
        <v>15986.68311560951</v>
      </c>
      <c r="R11" s="80">
        <f>R6+R9-R10</f>
        <v>41986.68311560951</v>
      </c>
      <c r="S11" s="80">
        <f>S6+S9-S10</f>
        <v>46436.68311560951</v>
      </c>
      <c r="T11" s="80">
        <f>T6+T9-T10</f>
        <v>41986.68311560951</v>
      </c>
      <c r="U11" s="80">
        <f>U6+U9-U10</f>
        <v>133043.9598777073</v>
      </c>
      <c r="V11" s="80">
        <f>V6+V9-V10</f>
        <v>43522.68311560951</v>
      </c>
      <c r="W11" s="80">
        <f>W6+W9-W10</f>
        <v>15986.68311560951</v>
      </c>
      <c r="X11" s="80">
        <f>X6+X9-X10</f>
        <v>41986.68311560951</v>
      </c>
      <c r="Y11" s="80">
        <f>Y6+Y9-Y10</f>
        <v>37686.68311560951</v>
      </c>
      <c r="Z11" s="85">
        <f>SUMIF($B$13:$Y$13,"Yes",B11:Y11)</f>
        <v>451580.1006937859</v>
      </c>
      <c r="AA11" s="80">
        <f>SUM(B11:M11)</f>
        <v>421593.4175781764</v>
      </c>
      <c r="AB11" s="46">
        <f>SUM(B11:Y11)</f>
        <v>1044770.168489686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0.04161142408074202</v>
      </c>
      <c r="D12" s="82">
        <f>IF(D13="Yes",IF(SUM($B$10:D10)/(SUM($B$6:D6)+SUM($B$9:D9))&lt;0,999.99,SUM($B$10:D10)/(SUM($B$6:D6)+SUM($B$9:D9))),"")</f>
        <v>0.07348868743008298</v>
      </c>
      <c r="E12" s="82">
        <f>IF(E13="Yes",IF(SUM($B$10:E10)/(SUM($B$6:E6)+SUM($B$9:E9))&lt;0,999.99,SUM($B$10:E10)/(SUM($B$6:E6)+SUM($B$9:E9))),"")</f>
        <v>0.1061184944990153</v>
      </c>
      <c r="F12" s="82">
        <f>IF(F13="Yes",IF(SUM($B$10:F10)/(SUM($B$6:F6)+SUM($B$9:F9))&lt;0,999.99,SUM($B$10:F10)/(SUM($B$6:F6)+SUM($B$9:F9))),"")</f>
        <v>0.2106131992389</v>
      </c>
      <c r="G12" s="82">
        <f>IF(G13="Yes",IF(SUM($B$10:G10)/(SUM($B$6:G6)+SUM($B$9:G9))&lt;0,999.99,SUM($B$10:G10)/(SUM($B$6:G6)+SUM($B$9:G9))),"")</f>
        <v>0.2287732043618716</v>
      </c>
      <c r="H12" s="82">
        <f>IF(H13="Yes",IF(SUM($B$10:H10)/(SUM($B$6:H6)+SUM($B$9:H9))&lt;0,999.99,SUM($B$10:H10)/(SUM($B$6:H6)+SUM($B$9:H9))),"")</f>
        <v>0.2392574955042057</v>
      </c>
      <c r="I12" s="82">
        <f>IF(I13="Yes",IF(SUM($B$10:I10)/(SUM($B$6:I6)+SUM($B$9:I9))&lt;0,999.99,SUM($B$10:I10)/(SUM($B$6:I6)+SUM($B$9:I9))),"")</f>
        <v>0.1950536162261482</v>
      </c>
      <c r="J12" s="82">
        <f>IF(J13="Yes",IF(SUM($B$10:J10)/(SUM($B$6:J6)+SUM($B$9:J9))&lt;0,999.99,SUM($B$10:J10)/(SUM($B$6:J6)+SUM($B$9:J9))),"")</f>
        <v>0.2038868675444462</v>
      </c>
      <c r="K12" s="82">
        <f>IF(K13="Yes",IF(SUM($B$10:K10)/(SUM($B$6:K6)+SUM($B$9:K9))&lt;0,999.99,SUM($B$10:K10)/(SUM($B$6:K6)+SUM($B$9:K9))),"")</f>
        <v>0.2278865384426056</v>
      </c>
      <c r="L12" s="82">
        <f>IF(L13="Yes",IF(SUM($B$10:L10)/(SUM($B$6:L6)+SUM($B$9:L9))&lt;0,999.99,SUM($B$10:L10)/(SUM($B$6:L6)+SUM($B$9:L9))),"")</f>
        <v>0.2326001813583749</v>
      </c>
      <c r="M12" s="82">
        <f>IF(M13="Yes",IF(SUM($B$10:M10)/(SUM($B$6:M6)+SUM($B$9:M9))&lt;0,999.99,SUM($B$10:M10)/(SUM($B$6:M6)+SUM($B$9:M9))),"")</f>
        <v>0.2384421414861918</v>
      </c>
      <c r="N12" s="82">
        <f>IF(N13="Yes",IF(SUM($B$10:N10)/(SUM($B$6:N6)+SUM($B$9:N9))&lt;0,999.99,SUM($B$10:N10)/(SUM($B$6:N6)+SUM($B$9:N9))),"")</f>
        <v>0.2417810800465894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91057.27676209781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91057.27676209781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91057.27676209781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91057.27676209781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182114.5535241956</v>
      </c>
      <c r="AA18" s="36">
        <f>SUM(B18:M18)</f>
        <v>182114.5535241956</v>
      </c>
      <c r="AB18" s="36">
        <f>SUM(B18:Y18)</f>
        <v>364229.1070483912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42860.90225563912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65015.625</v>
      </c>
      <c r="C24" s="36">
        <f>IFERROR(Calculations!$P14/12,"")</f>
        <v>65015.625</v>
      </c>
      <c r="D24" s="36">
        <f>IFERROR(Calculations!$P14/12,"")</f>
        <v>65015.625</v>
      </c>
      <c r="E24" s="36">
        <f>IFERROR(Calculations!$P14/12,"")</f>
        <v>65015.625</v>
      </c>
      <c r="F24" s="36">
        <f>IFERROR(Calculations!$P14/12,"")</f>
        <v>65015.625</v>
      </c>
      <c r="G24" s="36">
        <f>IFERROR(Calculations!$P14/12,"")</f>
        <v>65015.625</v>
      </c>
      <c r="H24" s="36">
        <f>IFERROR(Calculations!$P14/12,"")</f>
        <v>65015.625</v>
      </c>
      <c r="I24" s="36">
        <f>IFERROR(Calculations!$P14/12,"")</f>
        <v>65015.625</v>
      </c>
      <c r="J24" s="36">
        <f>IFERROR(Calculations!$P14/12,"")</f>
        <v>65015.625</v>
      </c>
      <c r="K24" s="36">
        <f>IFERROR(Calculations!$P14/12,"")</f>
        <v>65015.625</v>
      </c>
      <c r="L24" s="36">
        <f>IFERROR(Calculations!$P14/12,"")</f>
        <v>65015.625</v>
      </c>
      <c r="M24" s="36">
        <f>IFERROR(Calculations!$P14/12,"")</f>
        <v>65015.625</v>
      </c>
      <c r="N24" s="36">
        <f>IFERROR(Calculations!$P14/12,"")</f>
        <v>65015.625</v>
      </c>
      <c r="O24" s="36">
        <f>IFERROR(Calculations!$P14/12,"")</f>
        <v>65015.625</v>
      </c>
      <c r="P24" s="36">
        <f>IFERROR(Calculations!$P14/12,"")</f>
        <v>65015.625</v>
      </c>
      <c r="Q24" s="36">
        <f>IFERROR(Calculations!$P14/12,"")</f>
        <v>65015.625</v>
      </c>
      <c r="R24" s="36">
        <f>IFERROR(Calculations!$P14/12,"")</f>
        <v>65015.625</v>
      </c>
      <c r="S24" s="36">
        <f>IFERROR(Calculations!$P14/12,"")</f>
        <v>65015.625</v>
      </c>
      <c r="T24" s="36">
        <f>IFERROR(Calculations!$P14/12,"")</f>
        <v>65015.625</v>
      </c>
      <c r="U24" s="36">
        <f>IFERROR(Calculations!$P14/12,"")</f>
        <v>65015.625</v>
      </c>
      <c r="V24" s="36">
        <f>IFERROR(Calculations!$P14/12,"")</f>
        <v>65015.625</v>
      </c>
      <c r="W24" s="36">
        <f>IFERROR(Calculations!$P14/12,"")</f>
        <v>65015.625</v>
      </c>
      <c r="X24" s="36">
        <f>IFERROR(Calculations!$P14/12,"")</f>
        <v>65015.625</v>
      </c>
      <c r="Y24" s="36">
        <f>IFERROR(Calculations!$P14/12,"")</f>
        <v>65015.625</v>
      </c>
      <c r="Z24" s="36">
        <f>SUMIF($B$13:$Y$13,"Yes",B24:Y24)</f>
        <v>845203.125</v>
      </c>
      <c r="AA24" s="36">
        <f>SUM(B24:M24)</f>
        <v>780187.5</v>
      </c>
      <c r="AB24" s="46">
        <f>SUM(B24:Y24)</f>
        <v>1560375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4610.526315789473</v>
      </c>
      <c r="C25" s="36">
        <f>IFERROR(Calculations!$P15/12,"")</f>
        <v>4610.526315789473</v>
      </c>
      <c r="D25" s="36">
        <f>IFERROR(Calculations!$P15/12,"")</f>
        <v>4610.526315789473</v>
      </c>
      <c r="E25" s="36">
        <f>IFERROR(Calculations!$P15/12,"")</f>
        <v>4610.526315789473</v>
      </c>
      <c r="F25" s="36">
        <f>IFERROR(Calculations!$P15/12,"")</f>
        <v>4610.526315789473</v>
      </c>
      <c r="G25" s="36">
        <f>IFERROR(Calculations!$P15/12,"")</f>
        <v>4610.526315789473</v>
      </c>
      <c r="H25" s="36">
        <f>IFERROR(Calculations!$P15/12,"")</f>
        <v>4610.526315789473</v>
      </c>
      <c r="I25" s="36">
        <f>IFERROR(Calculations!$P15/12,"")</f>
        <v>4610.526315789473</v>
      </c>
      <c r="J25" s="36">
        <f>IFERROR(Calculations!$P15/12,"")</f>
        <v>4610.526315789473</v>
      </c>
      <c r="K25" s="36">
        <f>IFERROR(Calculations!$P15/12,"")</f>
        <v>4610.526315789473</v>
      </c>
      <c r="L25" s="36">
        <f>IFERROR(Calculations!$P15/12,"")</f>
        <v>4610.526315789473</v>
      </c>
      <c r="M25" s="36">
        <f>IFERROR(Calculations!$P15/12,"")</f>
        <v>4610.526315789473</v>
      </c>
      <c r="N25" s="36">
        <f>IFERROR(Calculations!$P15/12,"")</f>
        <v>4610.526315789473</v>
      </c>
      <c r="O25" s="36">
        <f>IFERROR(Calculations!$P15/12,"")</f>
        <v>4610.526315789473</v>
      </c>
      <c r="P25" s="36">
        <f>IFERROR(Calculations!$P15/12,"")</f>
        <v>4610.526315789473</v>
      </c>
      <c r="Q25" s="36">
        <f>IFERROR(Calculations!$P15/12,"")</f>
        <v>4610.526315789473</v>
      </c>
      <c r="R25" s="36">
        <f>IFERROR(Calculations!$P15/12,"")</f>
        <v>4610.526315789473</v>
      </c>
      <c r="S25" s="36">
        <f>IFERROR(Calculations!$P15/12,"")</f>
        <v>4610.526315789473</v>
      </c>
      <c r="T25" s="36">
        <f>IFERROR(Calculations!$P15/12,"")</f>
        <v>4610.526315789473</v>
      </c>
      <c r="U25" s="36">
        <f>IFERROR(Calculations!$P15/12,"")</f>
        <v>4610.526315789473</v>
      </c>
      <c r="V25" s="36">
        <f>IFERROR(Calculations!$P15/12,"")</f>
        <v>4610.526315789473</v>
      </c>
      <c r="W25" s="36">
        <f>IFERROR(Calculations!$P15/12,"")</f>
        <v>4610.526315789473</v>
      </c>
      <c r="X25" s="36">
        <f>IFERROR(Calculations!$P15/12,"")</f>
        <v>4610.526315789473</v>
      </c>
      <c r="Y25" s="36">
        <f>IFERROR(Calculations!$P15/12,"")</f>
        <v>4610.526315789473</v>
      </c>
      <c r="Z25" s="36">
        <f>SUMIF($B$13:$Y$13,"Yes",B25:Y25)</f>
        <v>59936.84210526315</v>
      </c>
      <c r="AA25" s="36">
        <f>SUM(B25:M25)</f>
        <v>55326.31578947368</v>
      </c>
      <c r="AB25" s="46">
        <f>SUM(B25:Y25)</f>
        <v>110652.6315789473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1040000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149626.1513157895</v>
      </c>
      <c r="C30" s="19">
        <f>SUM(C18:C29)</f>
        <v>240683.4280778873</v>
      </c>
      <c r="D30" s="19">
        <f>SUM(D18:D29)</f>
        <v>149626.1513157895</v>
      </c>
      <c r="E30" s="19">
        <f>SUM(E18:E29)</f>
        <v>149626.1513157895</v>
      </c>
      <c r="F30" s="19">
        <f>SUM(F18:F29)</f>
        <v>149626.1513157895</v>
      </c>
      <c r="G30" s="19">
        <f>SUM(G18:G29)</f>
        <v>149626.1513157895</v>
      </c>
      <c r="H30" s="19">
        <f>SUM(H18:H29)</f>
        <v>149626.1513157895</v>
      </c>
      <c r="I30" s="19">
        <f>SUM(I18:I29)</f>
        <v>240683.4280778873</v>
      </c>
      <c r="J30" s="19">
        <f>SUM(J18:J29)</f>
        <v>149626.1513157895</v>
      </c>
      <c r="K30" s="19">
        <f>SUM(K18:K29)</f>
        <v>149626.1513157895</v>
      </c>
      <c r="L30" s="19">
        <f>SUM(L18:L29)</f>
        <v>149626.1513157895</v>
      </c>
      <c r="M30" s="19">
        <f>SUM(M18:M29)</f>
        <v>149626.1513157895</v>
      </c>
      <c r="N30" s="19">
        <f>SUM(N18:N29)</f>
        <v>149626.1513157895</v>
      </c>
      <c r="O30" s="19">
        <f>SUM(O18:O29)</f>
        <v>240683.4280778873</v>
      </c>
      <c r="P30" s="19">
        <f>SUM(P18:P29)</f>
        <v>149626.1513157895</v>
      </c>
      <c r="Q30" s="19">
        <f>SUM(Q18:Q29)</f>
        <v>149626.1513157895</v>
      </c>
      <c r="R30" s="19">
        <f>SUM(R18:R29)</f>
        <v>149626.1513157895</v>
      </c>
      <c r="S30" s="19">
        <f>SUM(S18:S29)</f>
        <v>158376.1513157895</v>
      </c>
      <c r="T30" s="19">
        <f>SUM(T18:T29)</f>
        <v>149626.1513157895</v>
      </c>
      <c r="U30" s="19">
        <f>SUM(U18:U29)</f>
        <v>240683.4280778873</v>
      </c>
      <c r="V30" s="19">
        <f>SUM(V18:V29)</f>
        <v>149626.1513157895</v>
      </c>
      <c r="W30" s="19">
        <f>SUM(W18:W29)</f>
        <v>149626.1513157895</v>
      </c>
      <c r="X30" s="19">
        <f>SUM(X18:X29)</f>
        <v>149626.1513157895</v>
      </c>
      <c r="Y30" s="19">
        <f>SUM(Y18:Y29)</f>
        <v>149626.1513157895</v>
      </c>
      <c r="Z30" s="19">
        <f>SUMIF($B$13:$Y$13,"Yes",B30:Y30)</f>
        <v>2127254.520629459</v>
      </c>
      <c r="AA30" s="19">
        <f>SUM(B30:M30)</f>
        <v>1977628.369313669</v>
      </c>
      <c r="AB30" s="19">
        <f>SUM(B30:Y30)</f>
        <v>3964006.73862734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24000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24000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24000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24000</v>
      </c>
      <c r="X42" s="36">
        <f>SUM(X43:X47)</f>
        <v>0</v>
      </c>
      <c r="Y42" s="36">
        <f>SUM(Y43:Y47)</f>
        <v>0</v>
      </c>
      <c r="Z42" s="36">
        <f>SUMIF($B$13:$Y$13,"Yes",B42:Y42)</f>
        <v>48000</v>
      </c>
      <c r="AA42" s="36">
        <f>SUM(B42:M42)</f>
        <v>48000</v>
      </c>
      <c r="AB42" s="36">
        <f>SUM(B42:Y42)</f>
        <v>96000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</v>
      </c>
      <c r="AA43" s="36">
        <f>SUM(B43:M43)</f>
        <v>48000</v>
      </c>
      <c r="AB43" s="36">
        <f>SUM(B43:Y43)</f>
        <v>96000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4300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4300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4300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4300</v>
      </c>
      <c r="Z48" s="46">
        <f>SUMIF($B$13:$Y$13,"Yes",B48:Y48)</f>
        <v>8600</v>
      </c>
      <c r="AA48" s="46">
        <f>SUM(B48:M48)</f>
        <v>8600</v>
      </c>
      <c r="AB48" s="46">
        <f>SUM(B48:Y48)</f>
        <v>17200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4300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4300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4300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4300</v>
      </c>
      <c r="Z49" s="46">
        <f>SUMIF($B$13:$Y$13,"Yes",B49:Y49)</f>
        <v>8600</v>
      </c>
      <c r="AA49" s="46">
        <f>SUM(B49:M49)</f>
        <v>8600</v>
      </c>
      <c r="AB49" s="46">
        <f>SUM(B49:Y49)</f>
        <v>17200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1536</v>
      </c>
      <c r="C66" s="36">
        <f>O66</f>
        <v>1536</v>
      </c>
      <c r="D66" s="36">
        <f>P66</f>
        <v>0</v>
      </c>
      <c r="E66" s="36">
        <f>Q66</f>
        <v>1536</v>
      </c>
      <c r="F66" s="36">
        <f>R66</f>
        <v>1536</v>
      </c>
      <c r="G66" s="36">
        <f>S66</f>
        <v>1536</v>
      </c>
      <c r="H66" s="36">
        <f>T66</f>
        <v>1536</v>
      </c>
      <c r="I66" s="36">
        <f>U66</f>
        <v>1536</v>
      </c>
      <c r="J66" s="36">
        <f>V66</f>
        <v>0</v>
      </c>
      <c r="K66" s="36">
        <f>W66</f>
        <v>1536</v>
      </c>
      <c r="L66" s="36">
        <f>X66</f>
        <v>1536</v>
      </c>
      <c r="M66" s="36">
        <f>Y66</f>
        <v>1536</v>
      </c>
      <c r="N66" s="46">
        <f>SUM(N67:N71)</f>
        <v>1536</v>
      </c>
      <c r="O66" s="46">
        <f>SUM(O67:O71)</f>
        <v>1536</v>
      </c>
      <c r="P66" s="46">
        <f>SUM(P67:P71)</f>
        <v>0</v>
      </c>
      <c r="Q66" s="46">
        <f>SUM(Q67:Q71)</f>
        <v>1536</v>
      </c>
      <c r="R66" s="46">
        <f>SUM(R67:R71)</f>
        <v>1536</v>
      </c>
      <c r="S66" s="46">
        <f>SUM(S67:S71)</f>
        <v>1536</v>
      </c>
      <c r="T66" s="46">
        <f>SUM(T67:T71)</f>
        <v>1536</v>
      </c>
      <c r="U66" s="46">
        <f>SUM(U67:U71)</f>
        <v>1536</v>
      </c>
      <c r="V66" s="46">
        <f>SUM(V67:V71)</f>
        <v>0</v>
      </c>
      <c r="W66" s="46">
        <f>SUM(W67:W71)</f>
        <v>1536</v>
      </c>
      <c r="X66" s="46">
        <f>SUM(X67:X71)</f>
        <v>1536</v>
      </c>
      <c r="Y66" s="46">
        <f>SUM(Y67:Y71)</f>
        <v>1536</v>
      </c>
      <c r="Z66" s="46">
        <f>SUMIF($B$13:$Y$13,"Yes",B66:Y66)</f>
        <v>16896</v>
      </c>
      <c r="AA66" s="46">
        <f>SUM(B66:M66)</f>
        <v>15360</v>
      </c>
      <c r="AB66" s="46">
        <f>SUM(B66:Y66)</f>
        <v>30720</v>
      </c>
    </row>
    <row r="67" spans="1:30" hidden="true" outlineLevel="1">
      <c r="A67" s="181" t="str">
        <f>Calculations!$A$4</f>
        <v>Potatoes</v>
      </c>
      <c r="B67" s="36">
        <f>N67</f>
        <v>1536</v>
      </c>
      <c r="C67" s="36">
        <f>O67</f>
        <v>1536</v>
      </c>
      <c r="D67" s="36">
        <f>P67</f>
        <v>0</v>
      </c>
      <c r="E67" s="36">
        <f>Q67</f>
        <v>1536</v>
      </c>
      <c r="F67" s="36">
        <f>R67</f>
        <v>1536</v>
      </c>
      <c r="G67" s="36">
        <f>S67</f>
        <v>1536</v>
      </c>
      <c r="H67" s="36">
        <f>T67</f>
        <v>1536</v>
      </c>
      <c r="I67" s="36">
        <f>U67</f>
        <v>1536</v>
      </c>
      <c r="J67" s="36">
        <f>V67</f>
        <v>0</v>
      </c>
      <c r="K67" s="36">
        <f>W67</f>
        <v>1536</v>
      </c>
      <c r="L67" s="36">
        <f>X67</f>
        <v>1536</v>
      </c>
      <c r="M67" s="36">
        <f>Y67</f>
        <v>1536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1536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1536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</v>
      </c>
      <c r="Z67" s="46">
        <f>SUMIF($B$13:$Y$13,"Yes",B67:Y67)</f>
        <v>16896</v>
      </c>
      <c r="AA67" s="46">
        <f>SUM(B67:M67)</f>
        <v>15360</v>
      </c>
      <c r="AB67" s="46">
        <f>SUM(B67:Y67)</f>
        <v>30720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285.5555555555555</v>
      </c>
      <c r="C75" s="46">
        <f>SUM(Calculations!$R$14:$R$16)/12</f>
        <v>285.5555555555555</v>
      </c>
      <c r="D75" s="46">
        <f>SUM(Calculations!$R$14:$R$16)/12</f>
        <v>285.5555555555555</v>
      </c>
      <c r="E75" s="46">
        <f>SUM(Calculations!$R$14:$R$16)/12</f>
        <v>285.5555555555555</v>
      </c>
      <c r="F75" s="46">
        <f>SUM(Calculations!$R$14:$R$16)/12</f>
        <v>285.5555555555555</v>
      </c>
      <c r="G75" s="46">
        <f>SUM(Calculations!$R$14:$R$16)/12</f>
        <v>285.5555555555555</v>
      </c>
      <c r="H75" s="46">
        <f>SUM(Calculations!$R$14:$R$16)/12</f>
        <v>285.5555555555555</v>
      </c>
      <c r="I75" s="46">
        <f>SUM(Calculations!$R$14:$R$16)/12</f>
        <v>285.5555555555555</v>
      </c>
      <c r="J75" s="46">
        <f>SUM(Calculations!$R$14:$R$16)/12</f>
        <v>285.5555555555555</v>
      </c>
      <c r="K75" s="46">
        <f>SUM(Calculations!$R$14:$R$16)/12</f>
        <v>285.5555555555555</v>
      </c>
      <c r="L75" s="46">
        <f>SUM(Calculations!$R$14:$R$16)/12</f>
        <v>285.5555555555555</v>
      </c>
      <c r="M75" s="46">
        <f>SUM(Calculations!$R$14:$R$16)/12</f>
        <v>285.5555555555555</v>
      </c>
      <c r="N75" s="46">
        <f>SUM(Calculations!$R$14:$R$16)/12</f>
        <v>285.5555555555555</v>
      </c>
      <c r="O75" s="46">
        <f>SUM(Calculations!$R$14:$R$16)/12</f>
        <v>285.5555555555555</v>
      </c>
      <c r="P75" s="46">
        <f>SUM(Calculations!$R$14:$R$16)/12</f>
        <v>285.5555555555555</v>
      </c>
      <c r="Q75" s="46">
        <f>SUM(Calculations!$R$14:$R$16)/12</f>
        <v>285.5555555555555</v>
      </c>
      <c r="R75" s="46">
        <f>SUM(Calculations!$R$14:$R$16)/12</f>
        <v>285.5555555555555</v>
      </c>
      <c r="S75" s="46">
        <f>SUM(Calculations!$R$14:$R$16)/12</f>
        <v>285.5555555555555</v>
      </c>
      <c r="T75" s="46">
        <f>SUM(Calculations!$R$14:$R$16)/12</f>
        <v>285.5555555555555</v>
      </c>
      <c r="U75" s="46">
        <f>SUM(Calculations!$R$14:$R$16)/12</f>
        <v>285.5555555555555</v>
      </c>
      <c r="V75" s="46">
        <f>SUM(Calculations!$R$14:$R$16)/12</f>
        <v>285.5555555555555</v>
      </c>
      <c r="W75" s="46">
        <f>SUM(Calculations!$R$14:$R$16)/12</f>
        <v>285.5555555555555</v>
      </c>
      <c r="X75" s="46">
        <f>SUM(Calculations!$R$14:$R$16)/12</f>
        <v>285.5555555555555</v>
      </c>
      <c r="Y75" s="46">
        <f>SUM(Calculations!$R$14:$R$16)/12</f>
        <v>285.5555555555555</v>
      </c>
      <c r="Z75" s="46">
        <f>SUMIF($B$13:$Y$13,"Yes",B75:Y75)</f>
        <v>3712.222222222223</v>
      </c>
      <c r="AA75" s="46">
        <f>SUM(B75:M75)</f>
        <v>3426.666666666667</v>
      </c>
      <c r="AB75" s="46">
        <f>SUM(B75:Y75)</f>
        <v>6853.333333333335</v>
      </c>
    </row>
    <row r="76" spans="1:30">
      <c r="A76" s="16" t="s">
        <v>48</v>
      </c>
      <c r="B76" s="46">
        <f>SUM(Calculations!$S$14:$S$16)/12</f>
        <v>1785.870927318296</v>
      </c>
      <c r="C76" s="46">
        <f>SUM(Calculations!$S$14:$S$16)/12</f>
        <v>1785.870927318296</v>
      </c>
      <c r="D76" s="46">
        <f>SUM(Calculations!$S$14:$S$16)/12</f>
        <v>1785.870927318296</v>
      </c>
      <c r="E76" s="46">
        <f>SUM(Calculations!$S$14:$S$16)/12</f>
        <v>1785.870927318296</v>
      </c>
      <c r="F76" s="46">
        <f>SUM(Calculations!$S$14:$S$16)/12</f>
        <v>1785.870927318296</v>
      </c>
      <c r="G76" s="46">
        <f>SUM(Calculations!$S$14:$S$16)/12</f>
        <v>1785.870927318296</v>
      </c>
      <c r="H76" s="46">
        <f>SUM(Calculations!$S$14:$S$16)/12</f>
        <v>1785.870927318296</v>
      </c>
      <c r="I76" s="46">
        <f>SUM(Calculations!$S$14:$S$16)/12</f>
        <v>1785.870927318296</v>
      </c>
      <c r="J76" s="46">
        <f>SUM(Calculations!$S$14:$S$16)/12</f>
        <v>1785.870927318296</v>
      </c>
      <c r="K76" s="46">
        <f>SUM(Calculations!$S$14:$S$16)/12</f>
        <v>1785.870927318296</v>
      </c>
      <c r="L76" s="46">
        <f>SUM(Calculations!$S$14:$S$16)/12</f>
        <v>1785.870927318296</v>
      </c>
      <c r="M76" s="46">
        <f>SUM(Calculations!$S$14:$S$16)/12</f>
        <v>1785.870927318296</v>
      </c>
      <c r="N76" s="46">
        <f>SUM(Calculations!$S$14:$S$16)/12</f>
        <v>1785.870927318296</v>
      </c>
      <c r="O76" s="46">
        <f>SUM(Calculations!$S$14:$S$16)/12</f>
        <v>1785.870927318296</v>
      </c>
      <c r="P76" s="46">
        <f>SUM(Calculations!$S$14:$S$16)/12</f>
        <v>1785.870927318296</v>
      </c>
      <c r="Q76" s="46">
        <f>SUM(Calculations!$S$14:$S$16)/12</f>
        <v>1785.870927318296</v>
      </c>
      <c r="R76" s="46">
        <f>SUM(Calculations!$S$14:$S$16)/12</f>
        <v>1785.870927318296</v>
      </c>
      <c r="S76" s="46">
        <f>SUM(Calculations!$S$14:$S$16)/12</f>
        <v>1785.870927318296</v>
      </c>
      <c r="T76" s="46">
        <f>SUM(Calculations!$S$14:$S$16)/12</f>
        <v>1785.870927318296</v>
      </c>
      <c r="U76" s="46">
        <f>SUM(Calculations!$S$14:$S$16)/12</f>
        <v>1785.870927318296</v>
      </c>
      <c r="V76" s="46">
        <f>SUM(Calculations!$S$14:$S$16)/12</f>
        <v>1785.870927318296</v>
      </c>
      <c r="W76" s="46">
        <f>SUM(Calculations!$S$14:$S$16)/12</f>
        <v>1785.870927318296</v>
      </c>
      <c r="X76" s="46">
        <f>SUM(Calculations!$S$14:$S$16)/12</f>
        <v>1785.870927318296</v>
      </c>
      <c r="Y76" s="46">
        <f>SUM(Calculations!$S$14:$S$16)/12</f>
        <v>1785.870927318296</v>
      </c>
      <c r="Z76" s="46">
        <f>SUMIF($B$13:$Y$13,"Yes",B76:Y76)</f>
        <v>23216.32205513785</v>
      </c>
      <c r="AA76" s="46">
        <f>SUM(B76:M76)</f>
        <v>21430.45112781955</v>
      </c>
      <c r="AB76" s="46">
        <f>SUM(B76:Y76)</f>
        <v>42860.90225563912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150000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44060.37505063944</v>
      </c>
      <c r="C81" s="46">
        <f>(SUM($AA$18:$AA$29)-SUM($AA$36,$AA$42,$AA$48,$AA$54,$AA$60,$AA$66,$AA$72:$AA$79))*Parameters!$B$37/12</f>
        <v>44060.37505063944</v>
      </c>
      <c r="D81" s="46">
        <f>(SUM($AA$18:$AA$29)-SUM($AA$36,$AA$42,$AA$48,$AA$54,$AA$60,$AA$66,$AA$72:$AA$79))*Parameters!$B$37/12</f>
        <v>44060.37505063944</v>
      </c>
      <c r="E81" s="46">
        <f>(SUM($AA$18:$AA$29)-SUM($AA$36,$AA$42,$AA$48,$AA$54,$AA$60,$AA$66,$AA$72:$AA$79))*Parameters!$B$37/12</f>
        <v>44060.37505063944</v>
      </c>
      <c r="F81" s="46">
        <f>(SUM($AA$18:$AA$29)-SUM($AA$36,$AA$42,$AA$48,$AA$54,$AA$60,$AA$66,$AA$72:$AA$79))*Parameters!$B$37/12</f>
        <v>44060.37505063944</v>
      </c>
      <c r="G81" s="46">
        <f>(SUM($AA$18:$AA$29)-SUM($AA$36,$AA$42,$AA$48,$AA$54,$AA$60,$AA$66,$AA$72:$AA$79))*Parameters!$B$37/12</f>
        <v>44060.37505063944</v>
      </c>
      <c r="H81" s="46">
        <f>(SUM($AA$18:$AA$29)-SUM($AA$36,$AA$42,$AA$48,$AA$54,$AA$60,$AA$66,$AA$72:$AA$79))*Parameters!$B$37/12</f>
        <v>44060.37505063944</v>
      </c>
      <c r="I81" s="46">
        <f>(SUM($AA$18:$AA$29)-SUM($AA$36,$AA$42,$AA$48,$AA$54,$AA$60,$AA$66,$AA$72:$AA$79))*Parameters!$B$37/12</f>
        <v>44060.37505063944</v>
      </c>
      <c r="J81" s="46">
        <f>(SUM($AA$18:$AA$29)-SUM($AA$36,$AA$42,$AA$48,$AA$54,$AA$60,$AA$66,$AA$72:$AA$79))*Parameters!$B$37/12</f>
        <v>44060.37505063944</v>
      </c>
      <c r="K81" s="46">
        <f>(SUM($AA$18:$AA$29)-SUM($AA$36,$AA$42,$AA$48,$AA$54,$AA$60,$AA$66,$AA$72:$AA$79))*Parameters!$B$37/12</f>
        <v>44060.37505063944</v>
      </c>
      <c r="L81" s="46">
        <f>(SUM($AA$18:$AA$29)-SUM($AA$36,$AA$42,$AA$48,$AA$54,$AA$60,$AA$66,$AA$72:$AA$79))*Parameters!$B$37/12</f>
        <v>44060.37505063944</v>
      </c>
      <c r="M81" s="46">
        <f>(SUM($AA$18:$AA$29)-SUM($AA$36,$AA$42,$AA$48,$AA$54,$AA$60,$AA$66,$AA$72:$AA$79))*Parameters!$B$37/12</f>
        <v>44060.37505063944</v>
      </c>
      <c r="N81" s="46">
        <f>(SUM($AA$18:$AA$29)-SUM($AA$36,$AA$42,$AA$48,$AA$54,$AA$60,$AA$66,$AA$72:$AA$79))*Parameters!$B$37/12</f>
        <v>44060.37505063944</v>
      </c>
      <c r="O81" s="46">
        <f>(SUM($AA$18:$AA$29)-SUM($AA$36,$AA$42,$AA$48,$AA$54,$AA$60,$AA$66,$AA$72:$AA$79))*Parameters!$B$37/12</f>
        <v>44060.37505063944</v>
      </c>
      <c r="P81" s="46">
        <f>(SUM($AA$18:$AA$29)-SUM($AA$36,$AA$42,$AA$48,$AA$54,$AA$60,$AA$66,$AA$72:$AA$79))*Parameters!$B$37/12</f>
        <v>44060.37505063944</v>
      </c>
      <c r="Q81" s="46">
        <f>(SUM($AA$18:$AA$29)-SUM($AA$36,$AA$42,$AA$48,$AA$54,$AA$60,$AA$66,$AA$72:$AA$79))*Parameters!$B$37/12</f>
        <v>44060.37505063944</v>
      </c>
      <c r="R81" s="46">
        <f>(SUM($AA$18:$AA$29)-SUM($AA$36,$AA$42,$AA$48,$AA$54,$AA$60,$AA$66,$AA$72:$AA$79))*Parameters!$B$37/12</f>
        <v>44060.37505063944</v>
      </c>
      <c r="S81" s="46">
        <f>(SUM($AA$18:$AA$29)-SUM($AA$36,$AA$42,$AA$48,$AA$54,$AA$60,$AA$66,$AA$72:$AA$79))*Parameters!$B$37/12</f>
        <v>44060.37505063944</v>
      </c>
      <c r="T81" s="46">
        <f>(SUM($AA$18:$AA$29)-SUM($AA$36,$AA$42,$AA$48,$AA$54,$AA$60,$AA$66,$AA$72:$AA$79))*Parameters!$B$37/12</f>
        <v>44060.37505063944</v>
      </c>
      <c r="U81" s="46">
        <f>(SUM($AA$18:$AA$29)-SUM($AA$36,$AA$42,$AA$48,$AA$54,$AA$60,$AA$66,$AA$72:$AA$79))*Parameters!$B$37/12</f>
        <v>44060.37505063944</v>
      </c>
      <c r="V81" s="46">
        <f>(SUM($AA$18:$AA$29)-SUM($AA$36,$AA$42,$AA$48,$AA$54,$AA$60,$AA$66,$AA$72:$AA$79))*Parameters!$B$37/12</f>
        <v>44060.37505063944</v>
      </c>
      <c r="W81" s="46">
        <f>(SUM($AA$18:$AA$29)-SUM($AA$36,$AA$42,$AA$48,$AA$54,$AA$60,$AA$66,$AA$72:$AA$79))*Parameters!$B$37/12</f>
        <v>44060.37505063944</v>
      </c>
      <c r="X81" s="46">
        <f>(SUM($AA$18:$AA$29)-SUM($AA$36,$AA$42,$AA$48,$AA$54,$AA$60,$AA$66,$AA$72:$AA$79))*Parameters!$B$37/12</f>
        <v>44060.37505063944</v>
      </c>
      <c r="Y81" s="46">
        <f>(SUM($AA$18:$AA$29)-SUM($AA$36,$AA$42,$AA$48,$AA$54,$AA$60,$AA$66,$AA$72:$AA$79))*Parameters!$B$37/12</f>
        <v>44060.37505063944</v>
      </c>
      <c r="Z81" s="46">
        <f>SUMIF($B$13:$Y$13,"Yes",B81:Y81)</f>
        <v>572784.8756583128</v>
      </c>
      <c r="AA81" s="46">
        <f>SUM(B81:M81)</f>
        <v>528724.5006076733</v>
      </c>
      <c r="AB81" s="46">
        <f>SUM(B81:Y81)</f>
        <v>1057449.001215347</v>
      </c>
    </row>
    <row r="82" spans="1:30">
      <c r="A82" s="16" t="s">
        <v>52</v>
      </c>
      <c r="B82" s="46">
        <f>SUM(B83:B87)</f>
        <v>17212.48299319728</v>
      </c>
      <c r="C82" s="46">
        <f>SUM(C83:C87)</f>
        <v>17212.48299319728</v>
      </c>
      <c r="D82" s="46">
        <f>SUM(D83:D87)</f>
        <v>17212.48299319728</v>
      </c>
      <c r="E82" s="46">
        <f>SUM(E83:E87)</f>
        <v>17212.48299319728</v>
      </c>
      <c r="F82" s="46">
        <f>SUM(F83:F87)</f>
        <v>17212.48299319728</v>
      </c>
      <c r="G82" s="46">
        <f>SUM(G83:G87)</f>
        <v>17212.48299319728</v>
      </c>
      <c r="H82" s="46">
        <f>SUM(H83:H87)</f>
        <v>17212.48299319728</v>
      </c>
      <c r="I82" s="46">
        <f>SUM(I83:I87)</f>
        <v>17212.48299319728</v>
      </c>
      <c r="J82" s="46">
        <f>SUM(J83:J87)</f>
        <v>17212.48299319728</v>
      </c>
      <c r="K82" s="46">
        <f>SUM(K83:K87)</f>
        <v>26804.31972789115</v>
      </c>
      <c r="L82" s="46">
        <f>SUM(L83:L87)</f>
        <v>13888.33333333333</v>
      </c>
      <c r="M82" s="46">
        <f>SUM(M83:M87)</f>
        <v>13888.33333333333</v>
      </c>
      <c r="N82" s="46">
        <f>SUM(N83:N87)</f>
        <v>13888.33333333333</v>
      </c>
      <c r="O82" s="46">
        <f>SUM(O83:O87)</f>
        <v>13888.33333333333</v>
      </c>
      <c r="P82" s="46">
        <f>SUM(P83:P87)</f>
        <v>13888.33333333333</v>
      </c>
      <c r="Q82" s="46">
        <f>SUM(Q83:Q87)</f>
        <v>13888.33333333333</v>
      </c>
      <c r="R82" s="46">
        <f>SUM(R83:R87)</f>
        <v>13888.33333333333</v>
      </c>
      <c r="S82" s="46">
        <f>SUM(S83:S87)</f>
        <v>13888.33333333333</v>
      </c>
      <c r="T82" s="46">
        <f>SUM(T83:T87)</f>
        <v>13888.33333333333</v>
      </c>
      <c r="U82" s="46">
        <f>SUM(U83:U87)</f>
        <v>13888.33333333333</v>
      </c>
      <c r="V82" s="46">
        <f>SUM(V83:V87)</f>
        <v>13888.33333333333</v>
      </c>
      <c r="W82" s="46">
        <f>SUM(W83:W87)</f>
        <v>13888.33333333333</v>
      </c>
      <c r="X82" s="46">
        <f>SUM(X83:X87)</f>
        <v>13888.33333333333</v>
      </c>
      <c r="Y82" s="46">
        <f>SUM(Y83:Y87)</f>
        <v>13888.33333333333</v>
      </c>
      <c r="Z82" s="46">
        <f>SUMIF($B$13:$Y$13,"Yes",B82:Y82)</f>
        <v>223381.6666666667</v>
      </c>
      <c r="AA82" s="46">
        <f>SUM(B82:M82)</f>
        <v>209493.3333333333</v>
      </c>
      <c r="AB82" s="46">
        <f>SUM(B82:Y82)</f>
        <v>376153.3333333332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13888.33333333333</v>
      </c>
      <c r="C83" s="46">
        <f>IF(Calculations!$E23&gt;COUNT(Output!$B$35:C$35),Calculations!$B23,IF(Calculations!$E23=COUNT(Output!$B$35:C$35),Inputs!$B56-Calculations!$C23*(Calculations!$E23-1)+Calculations!$D23,0))</f>
        <v>13888.33333333333</v>
      </c>
      <c r="D83" s="46">
        <f>IF(Calculations!$E23&gt;COUNT(Output!$B$35:D$35),Calculations!$B23,IF(Calculations!$E23=COUNT(Output!$B$35:D$35),Inputs!$B56-Calculations!$C23*(Calculations!$E23-1)+Calculations!$D23,0))</f>
        <v>13888.33333333333</v>
      </c>
      <c r="E83" s="46">
        <f>IF(Calculations!$E23&gt;COUNT(Output!$B$35:E$35),Calculations!$B23,IF(Calculations!$E23=COUNT(Output!$B$35:E$35),Inputs!$B56-Calculations!$C23*(Calculations!$E23-1)+Calculations!$D23,0))</f>
        <v>13888.33333333333</v>
      </c>
      <c r="F83" s="46">
        <f>IF(Calculations!$E23&gt;COUNT(Output!$B$35:F$35),Calculations!$B23,IF(Calculations!$E23=COUNT(Output!$B$35:F$35),Inputs!$B56-Calculations!$C23*(Calculations!$E23-1)+Calculations!$D23,0))</f>
        <v>13888.33333333333</v>
      </c>
      <c r="G83" s="46">
        <f>IF(Calculations!$E23&gt;COUNT(Output!$B$35:G$35),Calculations!$B23,IF(Calculations!$E23=COUNT(Output!$B$35:G$35),Inputs!$B56-Calculations!$C23*(Calculations!$E23-1)+Calculations!$D23,0))</f>
        <v>13888.33333333333</v>
      </c>
      <c r="H83" s="46">
        <f>IF(Calculations!$E23&gt;COUNT(Output!$B$35:H$35),Calculations!$B23,IF(Calculations!$E23=COUNT(Output!$B$35:H$35),Inputs!$B56-Calculations!$C23*(Calculations!$E23-1)+Calculations!$D23,0))</f>
        <v>13888.33333333333</v>
      </c>
      <c r="I83" s="46">
        <f>IF(Calculations!$E23&gt;COUNT(Output!$B$35:I$35),Calculations!$B23,IF(Calculations!$E23=COUNT(Output!$B$35:I$35),Inputs!$B56-Calculations!$C23*(Calculations!$E23-1)+Calculations!$D23,0))</f>
        <v>13888.33333333333</v>
      </c>
      <c r="J83" s="46">
        <f>IF(Calculations!$E23&gt;COUNT(Output!$B$35:J$35),Calculations!$B23,IF(Calculations!$E23=COUNT(Output!$B$35:J$35),Inputs!$B56-Calculations!$C23*(Calculations!$E23-1)+Calculations!$D23,0))</f>
        <v>13888.33333333333</v>
      </c>
      <c r="K83" s="46">
        <f>IF(Calculations!$E23&gt;COUNT(Output!$B$35:K$35),Calculations!$B23,IF(Calculations!$E23=COUNT(Output!$B$35:K$35),Inputs!$B56-Calculations!$C23*(Calculations!$E23-1)+Calculations!$D23,0))</f>
        <v>13888.33333333333</v>
      </c>
      <c r="L83" s="46">
        <f>IF(Calculations!$E23&gt;COUNT(Output!$B$35:L$35),Calculations!$B23,IF(Calculations!$E23=COUNT(Output!$B$35:L$35),Inputs!$B56-Calculations!$C23*(Calculations!$E23-1)+Calculations!$D23,0))</f>
        <v>13888.33333333333</v>
      </c>
      <c r="M83" s="46">
        <f>IF(Calculations!$E23&gt;COUNT(Output!$B$35:M$35),Calculations!$B23,IF(Calculations!$E23=COUNT(Output!$B$35:M$35),Inputs!$B56-Calculations!$C23*(Calculations!$E23-1)+Calculations!$D23,0))</f>
        <v>13888.33333333333</v>
      </c>
      <c r="N83" s="46">
        <f>IF(Calculations!$E23&gt;COUNT(Output!$B$35:N$35),Calculations!$B23,IF(Calculations!$E23=COUNT(Output!$B$35:N$35),Inputs!$B56-Calculations!$C23*(Calculations!$E23-1)+Calculations!$D23,0))</f>
        <v>13888.33333333333</v>
      </c>
      <c r="O83" s="46">
        <f>IF(Calculations!$E23&gt;COUNT(Output!$B$35:O$35),Calculations!$B23,IF(Calculations!$E23=COUNT(Output!$B$35:O$35),Inputs!$B56-Calculations!$C23*(Calculations!$E23-1)+Calculations!$D23,0))</f>
        <v>13888.33333333333</v>
      </c>
      <c r="P83" s="46">
        <f>IF(Calculations!$E23&gt;COUNT(Output!$B$35:P$35),Calculations!$B23,IF(Calculations!$E23=COUNT(Output!$B$35:P$35),Inputs!$B56-Calculations!$C23*(Calculations!$E23-1)+Calculations!$D23,0))</f>
        <v>13888.33333333333</v>
      </c>
      <c r="Q83" s="46">
        <f>IF(Calculations!$E23&gt;COUNT(Output!$B$35:Q$35),Calculations!$B23,IF(Calculations!$E23=COUNT(Output!$B$35:Q$35),Inputs!$B56-Calculations!$C23*(Calculations!$E23-1)+Calculations!$D23,0))</f>
        <v>13888.33333333333</v>
      </c>
      <c r="R83" s="46">
        <f>IF(Calculations!$E23&gt;COUNT(Output!$B$35:R$35),Calculations!$B23,IF(Calculations!$E23=COUNT(Output!$B$35:R$35),Inputs!$B56-Calculations!$C23*(Calculations!$E23-1)+Calculations!$D23,0))</f>
        <v>13888.33333333333</v>
      </c>
      <c r="S83" s="46">
        <f>IF(Calculations!$E23&gt;COUNT(Output!$B$35:S$35),Calculations!$B23,IF(Calculations!$E23=COUNT(Output!$B$35:S$35),Inputs!$B56-Calculations!$C23*(Calculations!$E23-1)+Calculations!$D23,0))</f>
        <v>13888.33333333333</v>
      </c>
      <c r="T83" s="46">
        <f>IF(Calculations!$E23&gt;COUNT(Output!$B$35:T$35),Calculations!$B23,IF(Calculations!$E23=COUNT(Output!$B$35:T$35),Inputs!$B56-Calculations!$C23*(Calculations!$E23-1)+Calculations!$D23,0))</f>
        <v>13888.33333333333</v>
      </c>
      <c r="U83" s="46">
        <f>IF(Calculations!$E23&gt;COUNT(Output!$B$35:U$35),Calculations!$B23,IF(Calculations!$E23=COUNT(Output!$B$35:U$35),Inputs!$B56-Calculations!$C23*(Calculations!$E23-1)+Calculations!$D23,0))</f>
        <v>13888.33333333333</v>
      </c>
      <c r="V83" s="46">
        <f>IF(Calculations!$E23&gt;COUNT(Output!$B$35:V$35),Calculations!$B23,IF(Calculations!$E23=COUNT(Output!$B$35:V$35),Inputs!$B56-Calculations!$C23*(Calculations!$E23-1)+Calculations!$D23,0))</f>
        <v>13888.33333333333</v>
      </c>
      <c r="W83" s="46">
        <f>IF(Calculations!$E23&gt;COUNT(Output!$B$35:W$35),Calculations!$B23,IF(Calculations!$E23=COUNT(Output!$B$35:W$35),Inputs!$B56-Calculations!$C23*(Calculations!$E23-1)+Calculations!$D23,0))</f>
        <v>13888.33333333333</v>
      </c>
      <c r="X83" s="46">
        <f>IF(Calculations!$E23&gt;COUNT(Output!$B$35:X$35),Calculations!$B23,IF(Calculations!$E23=COUNT(Output!$B$35:X$35),Inputs!$B56-Calculations!$C23*(Calculations!$E23-1)+Calculations!$D23,0))</f>
        <v>13888.33333333333</v>
      </c>
      <c r="Y83" s="46">
        <f>IF(Calculations!$E23&gt;COUNT(Output!$B$35:Y$35),Calculations!$B23,IF(Calculations!$E23=COUNT(Output!$B$35:Y$35),Inputs!$B56-Calculations!$C23*(Calculations!$E23-1)+Calculations!$D23,0))</f>
        <v>13888.33333333333</v>
      </c>
      <c r="Z83" s="46">
        <f>SUMIF($B$13:$Y$13,"Yes",B83:Y83)</f>
        <v>180548.3333333333</v>
      </c>
      <c r="AA83" s="46">
        <f>SUM(B83:M83)</f>
        <v>166660</v>
      </c>
      <c r="AB83" s="46">
        <f>SUM(B83:Y83)</f>
        <v>333319.9999999999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3324.149659863945</v>
      </c>
      <c r="C84" s="46">
        <f>IF(Calculations!$E24&gt;COUNT(Output!$B$35:C$35),Calculations!$B24,IF(Calculations!$E24=COUNT(Output!$B$35:C$35),Inputs!$B57-Calculations!$C24*(Calculations!$E24-1)+Calculations!$D24,0))</f>
        <v>3324.149659863945</v>
      </c>
      <c r="D84" s="46">
        <f>IF(Calculations!$E24&gt;COUNT(Output!$B$35:D$35),Calculations!$B24,IF(Calculations!$E24=COUNT(Output!$B$35:D$35),Inputs!$B57-Calculations!$C24*(Calculations!$E24-1)+Calculations!$D24,0))</f>
        <v>3324.149659863945</v>
      </c>
      <c r="E84" s="46">
        <f>IF(Calculations!$E24&gt;COUNT(Output!$B$35:E$35),Calculations!$B24,IF(Calculations!$E24=COUNT(Output!$B$35:E$35),Inputs!$B57-Calculations!$C24*(Calculations!$E24-1)+Calculations!$D24,0))</f>
        <v>3324.149659863945</v>
      </c>
      <c r="F84" s="46">
        <f>IF(Calculations!$E24&gt;COUNT(Output!$B$35:F$35),Calculations!$B24,IF(Calculations!$E24=COUNT(Output!$B$35:F$35),Inputs!$B57-Calculations!$C24*(Calculations!$E24-1)+Calculations!$D24,0))</f>
        <v>3324.149659863945</v>
      </c>
      <c r="G84" s="46">
        <f>IF(Calculations!$E24&gt;COUNT(Output!$B$35:G$35),Calculations!$B24,IF(Calculations!$E24=COUNT(Output!$B$35:G$35),Inputs!$B57-Calculations!$C24*(Calculations!$E24-1)+Calculations!$D24,0))</f>
        <v>3324.149659863945</v>
      </c>
      <c r="H84" s="46">
        <f>IF(Calculations!$E24&gt;COUNT(Output!$B$35:H$35),Calculations!$B24,IF(Calculations!$E24=COUNT(Output!$B$35:H$35),Inputs!$B57-Calculations!$C24*(Calculations!$E24-1)+Calculations!$D24,0))</f>
        <v>3324.149659863945</v>
      </c>
      <c r="I84" s="46">
        <f>IF(Calculations!$E24&gt;COUNT(Output!$B$35:I$35),Calculations!$B24,IF(Calculations!$E24=COUNT(Output!$B$35:I$35),Inputs!$B57-Calculations!$C24*(Calculations!$E24-1)+Calculations!$D24,0))</f>
        <v>3324.149659863945</v>
      </c>
      <c r="J84" s="46">
        <f>IF(Calculations!$E24&gt;COUNT(Output!$B$35:J$35),Calculations!$B24,IF(Calculations!$E24=COUNT(Output!$B$35:J$35),Inputs!$B57-Calculations!$C24*(Calculations!$E24-1)+Calculations!$D24,0))</f>
        <v>3324.149659863945</v>
      </c>
      <c r="K84" s="46">
        <f>IF(Calculations!$E24&gt;COUNT(Output!$B$35:K$35),Calculations!$B24,IF(Calculations!$E24=COUNT(Output!$B$35:K$35),Inputs!$B57-Calculations!$C24*(Calculations!$E24-1)+Calculations!$D24,0))</f>
        <v>12915.98639455782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42833.33333333334</v>
      </c>
      <c r="AA84" s="46">
        <f>SUM(B84:M84)</f>
        <v>42833.33333333334</v>
      </c>
      <c r="AB84" s="46">
        <f>SUM(B84:Y84)</f>
        <v>42833.33333333334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110963.6178600439</v>
      </c>
      <c r="C88" s="19">
        <f>SUM(C72:C82,C66,C60,C54,C48,C42,C36)</f>
        <v>110963.6178600439</v>
      </c>
      <c r="D88" s="19">
        <f>SUM(D72:D82,D66,D60,D54,D48,D42,D36)</f>
        <v>111427.6178600439</v>
      </c>
      <c r="E88" s="19">
        <f>SUM(E72:E82,E66,E60,E54,E48,E42,E36)</f>
        <v>136963.6178600439</v>
      </c>
      <c r="F88" s="19">
        <f>SUM(F72:F82,F66,F60,F54,F48,F42,F36)</f>
        <v>260963.6178600439</v>
      </c>
      <c r="G88" s="19">
        <f>SUM(G72:G82,G66,G60,G54,G48,G42,G36)</f>
        <v>115263.6178600439</v>
      </c>
      <c r="H88" s="19">
        <f>SUM(H72:H82,H66,H60,H54,H48,H42,H36)</f>
        <v>110963.6178600439</v>
      </c>
      <c r="I88" s="19">
        <f>SUM(I72:I82,I66,I60,I54,I48,I42,I36)</f>
        <v>110963.6178600439</v>
      </c>
      <c r="J88" s="19">
        <f>SUM(J72:J82,J66,J60,J54,J48,J42,J36)</f>
        <v>109427.6178600439</v>
      </c>
      <c r="K88" s="19">
        <f>SUM(K72:K82,K66,K60,K54,K48,K42,K36)</f>
        <v>146555.4545947378</v>
      </c>
      <c r="L88" s="19">
        <f>SUM(L72:L82,L66,L60,L54,L48,L42,L36)</f>
        <v>107639.46820018</v>
      </c>
      <c r="M88" s="19">
        <f>SUM(M72:M82,M66,M60,M54,M48,M42,M36)</f>
        <v>111939.46820018</v>
      </c>
      <c r="N88" s="19">
        <f>SUM(N72:N82,N66,N60,N54,N48,N42,N36)</f>
        <v>107639.46820018</v>
      </c>
      <c r="O88" s="19">
        <f>SUM(O72:O82,O66,O60,O54,O48,O42,O36)</f>
        <v>107639.46820018</v>
      </c>
      <c r="P88" s="19">
        <f>SUM(P72:P82,P66,P60,P54,P48,P42,P36)</f>
        <v>108103.46820018</v>
      </c>
      <c r="Q88" s="19">
        <f>SUM(Q72:Q82,Q66,Q60,Q54,Q48,Q42,Q36)</f>
        <v>133639.46820018</v>
      </c>
      <c r="R88" s="19">
        <f>SUM(R72:R82,R66,R60,R54,R48,R42,R36)</f>
        <v>107639.46820018</v>
      </c>
      <c r="S88" s="19">
        <f>SUM(S72:S82,S66,S60,S54,S48,S42,S36)</f>
        <v>111939.46820018</v>
      </c>
      <c r="T88" s="19">
        <f>SUM(T72:T82,T66,T60,T54,T48,T42,T36)</f>
        <v>107639.46820018</v>
      </c>
      <c r="U88" s="19">
        <f>SUM(U72:U82,U66,U60,U54,U48,U42,U36)</f>
        <v>107639.46820018</v>
      </c>
      <c r="V88" s="19">
        <f>SUM(V72:V82,V66,V60,V54,V48,V42,V36)</f>
        <v>106103.46820018</v>
      </c>
      <c r="W88" s="19">
        <f>SUM(W72:W82,W66,W60,W54,W48,W42,W36)</f>
        <v>133639.46820018</v>
      </c>
      <c r="X88" s="19">
        <f>SUM(X72:X82,X66,X60,X54,X48,X42,X36)</f>
        <v>107639.46820018</v>
      </c>
      <c r="Y88" s="19">
        <f>SUM(Y72:Y82,Y66,Y60,Y54,Y48,Y42,Y36)</f>
        <v>111939.46820018</v>
      </c>
      <c r="Z88" s="19">
        <f>SUMIF($B$13:$Y$13,"Yes",B88:Y88)</f>
        <v>1651674.419935673</v>
      </c>
      <c r="AA88" s="19">
        <f>SUM(B88:M88)</f>
        <v>1544034.951735493</v>
      </c>
      <c r="AB88" s="19">
        <f>SUM(B88:Y88)</f>
        <v>2895236.570137651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622500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3700000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5942500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295992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425992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3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50</v>
      </c>
      <c r="D20" s="147">
        <v>40</v>
      </c>
      <c r="E20" s="16"/>
      <c r="F20" s="147" t="s">
        <v>92</v>
      </c>
      <c r="G20" s="16"/>
      <c r="H20" s="16"/>
      <c r="I20" s="147" t="s">
        <v>111</v>
      </c>
      <c r="J20" s="147">
        <v>10</v>
      </c>
      <c r="K20" s="147">
        <v>100</v>
      </c>
      <c r="L20" s="30">
        <v>1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80000</v>
      </c>
    </row>
    <row r="31" spans="1:48">
      <c r="A31" s="5" t="s">
        <v>119</v>
      </c>
      <c r="B31" s="158">
        <v>40000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150000</v>
      </c>
      <c r="C35" s="145" t="s">
        <v>126</v>
      </c>
      <c r="D35" s="49">
        <f>IFERROR(VLOOKUP(C35,Parameters!$C$79:$D$90,2,0),"")</f>
        <v>10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300000</v>
      </c>
    </row>
    <row r="46" spans="1:48" customHeight="1" ht="30">
      <c r="A46" s="57" t="s">
        <v>135</v>
      </c>
      <c r="B46" s="161">
        <v>100000</v>
      </c>
    </row>
    <row r="47" spans="1:48" customHeight="1" ht="30">
      <c r="A47" s="57" t="s">
        <v>136</v>
      </c>
      <c r="B47" s="161">
        <v>200000</v>
      </c>
    </row>
    <row r="48" spans="1:48" customHeight="1" ht="30">
      <c r="A48" s="57" t="s">
        <v>137</v>
      </c>
      <c r="B48" s="161">
        <v>1000000</v>
      </c>
    </row>
    <row r="49" spans="1:48" customHeight="1" ht="30">
      <c r="A49" s="57" t="s">
        <v>138</v>
      </c>
      <c r="B49" s="161">
        <v>20000</v>
      </c>
    </row>
    <row r="50" spans="1:48">
      <c r="A50" s="43"/>
      <c r="B50" s="36"/>
    </row>
    <row r="51" spans="1:48">
      <c r="A51" s="58" t="s">
        <v>139</v>
      </c>
      <c r="B51" s="161">
        <v>10000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280000</v>
      </c>
      <c r="B56" s="159">
        <v>265992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70000</v>
      </c>
      <c r="B57" s="157">
        <v>30000</v>
      </c>
      <c r="C57" s="164" t="s">
        <v>150</v>
      </c>
      <c r="D57" s="165" t="s">
        <v>151</v>
      </c>
      <c r="E57" s="165" t="s">
        <v>92</v>
      </c>
      <c r="F57" s="165" t="s">
        <v>152</v>
      </c>
    </row>
    <row r="58" spans="1:48">
      <c r="A58" s="157">
        <v>400000</v>
      </c>
      <c r="B58" s="157">
        <v>0</v>
      </c>
      <c r="C58" s="164" t="s">
        <v>153</v>
      </c>
      <c r="D58" s="165" t="s">
        <v>148</v>
      </c>
      <c r="E58" s="165" t="s">
        <v>92</v>
      </c>
      <c r="F58" s="165" t="s">
        <v>154</v>
      </c>
    </row>
    <row r="59" spans="1:48">
      <c r="A59" s="157">
        <v>300000</v>
      </c>
      <c r="B59" s="157">
        <v>0</v>
      </c>
      <c r="C59" s="164" t="s">
        <v>155</v>
      </c>
      <c r="D59" s="165" t="s">
        <v>148</v>
      </c>
      <c r="E59" s="165" t="s">
        <v>92</v>
      </c>
      <c r="F59" s="165" t="s">
        <v>154</v>
      </c>
    </row>
    <row r="60" spans="1:48">
      <c r="A60" s="158">
        <v>100000</v>
      </c>
      <c r="B60" s="158">
        <v>0</v>
      </c>
      <c r="C60" s="166" t="s">
        <v>156</v>
      </c>
      <c r="D60" s="167" t="s">
        <v>148</v>
      </c>
      <c r="E60" s="167" t="s">
        <v>92</v>
      </c>
      <c r="F60" s="167" t="s">
        <v>154</v>
      </c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158</v>
      </c>
      <c r="C65" s="10" t="s">
        <v>159</v>
      </c>
    </row>
    <row r="66" spans="1:48">
      <c r="A66" s="142" t="s">
        <v>160</v>
      </c>
      <c r="B66" s="159">
        <v>91000</v>
      </c>
      <c r="C66" s="163">
        <v>90000</v>
      </c>
      <c r="D66" s="49">
        <f>INDEX(Parameters!$D$79:$D$90,MATCH(Inputs!A66,Parameters!$C$79:$C$90,0))</f>
        <v>6</v>
      </c>
    </row>
    <row r="67" spans="1:48">
      <c r="A67" s="143" t="s">
        <v>161</v>
      </c>
      <c r="B67" s="157">
        <v>114000</v>
      </c>
      <c r="C67" s="165">
        <v>114500</v>
      </c>
      <c r="D67" s="49">
        <f>INDEX(Parameters!$D$79:$D$90,MATCH(Inputs!A67,Parameters!$C$79:$C$90,0))</f>
        <v>5</v>
      </c>
    </row>
    <row r="68" spans="1:48">
      <c r="A68" s="143" t="s">
        <v>162</v>
      </c>
      <c r="B68" s="157">
        <v>169000</v>
      </c>
      <c r="C68" s="165">
        <v>168500</v>
      </c>
      <c r="D68" s="49">
        <f>INDEX(Parameters!$D$79:$D$90,MATCH(Inputs!A68,Parameters!$C$79:$C$90,0))</f>
        <v>4</v>
      </c>
    </row>
    <row r="69" spans="1:48">
      <c r="A69" s="143" t="s">
        <v>163</v>
      </c>
      <c r="B69" s="157">
        <v>140000</v>
      </c>
      <c r="C69" s="165">
        <v>140000</v>
      </c>
      <c r="D69" s="49">
        <f>INDEX(Parameters!$D$79:$D$90,MATCH(Inputs!A69,Parameters!$C$79:$C$90,0))</f>
        <v>3</v>
      </c>
    </row>
    <row r="70" spans="1:48">
      <c r="A70" s="143" t="s">
        <v>164</v>
      </c>
      <c r="B70" s="157">
        <v>129000</v>
      </c>
      <c r="C70" s="165">
        <v>129000</v>
      </c>
      <c r="D70" s="49">
        <f>INDEX(Parameters!$D$79:$D$90,MATCH(Inputs!A70,Parameters!$C$79:$C$90,0))</f>
        <v>2</v>
      </c>
    </row>
    <row r="71" spans="1:48">
      <c r="A71" s="144" t="s">
        <v>165</v>
      </c>
      <c r="B71" s="158">
        <v>222000</v>
      </c>
      <c r="C71" s="167">
        <v>222200</v>
      </c>
      <c r="D71" s="49">
        <f>INDEX(Parameters!$D$79:$D$90,MATCH(Inputs!A71,Parameters!$C$79:$C$90,0))</f>
        <v>1</v>
      </c>
    </row>
    <row r="73" spans="1:48">
      <c r="A73" s="3" t="s">
        <v>166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167</v>
      </c>
      <c r="B75" s="161">
        <v>5</v>
      </c>
    </row>
    <row r="76" spans="1:48">
      <c r="A76" t="s">
        <v>168</v>
      </c>
      <c r="B76" s="168" t="s">
        <v>169</v>
      </c>
    </row>
    <row r="78" spans="1:48" customHeight="1" ht="20.25">
      <c r="B78" s="127" t="s">
        <v>170</v>
      </c>
    </row>
    <row r="79" spans="1:48">
      <c r="A79" t="s">
        <v>171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120000</v>
      </c>
    </row>
    <row r="82" spans="1:48">
      <c r="A82" t="s">
        <v>175</v>
      </c>
      <c r="B82" s="161">
        <v>20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12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8558.01473327987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182114.5535241956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780187.5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</v>
      </c>
      <c r="E15" s="16">
        <f>Inputs!D20</f>
        <v>40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0.1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55326.31578947368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426.6666666666667</v>
      </c>
      <c r="S15" s="64">
        <f>IFERROR(D15*INDEX(Parameters!$A$22:$P$29,MATCH(Calculations!$A15,Parameters!$A$22:$A$29,0),MATCH(Parameters!$N$22,Parameters!$A$22:$P$22,0)),"")</f>
        <v>3430.451127819548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280000</v>
      </c>
      <c r="B23" s="75">
        <f>SUM(C23:D23)</f>
        <v>13888.33333333333</v>
      </c>
      <c r="C23" s="75">
        <f>IF(Inputs!B56&gt;0,(Inputs!A56-Inputs!B56)/(DATE(YEAR(Inputs!$B$76),MONTH(Inputs!$B$76),DAY(Inputs!$B$76))-DATE(YEAR(Inputs!C56),MONTH(Inputs!C56),DAY(Inputs!C56)))*30,0)</f>
        <v>8755</v>
      </c>
      <c r="D23" s="75">
        <f>IF(Inputs!B56&gt;0,Inputs!A56*0.22/12,0)</f>
        <v>5133.333333333333</v>
      </c>
      <c r="E23" s="75">
        <f>IFERROR(ROUNDUP(Inputs!B56/C23,0),0)</f>
        <v>31</v>
      </c>
    </row>
    <row r="24" spans="1:52">
      <c r="A24" s="46">
        <f>Inputs!A57</f>
        <v>70000</v>
      </c>
      <c r="B24" s="46">
        <f>SUM(C24:D24)</f>
        <v>3324.149659863945</v>
      </c>
      <c r="C24" s="46">
        <f>IF(Inputs!B57&gt;0,(Inputs!A57-Inputs!B57)/(DATE(YEAR(Inputs!$B$76),MONTH(Inputs!$B$76),DAY(Inputs!$B$76))-DATE(YEAR(Inputs!C57),MONTH(Inputs!C57),DAY(Inputs!C57)))*30,0)</f>
        <v>2040.816326530612</v>
      </c>
      <c r="D24" s="46">
        <f>IF(Inputs!B57&gt;0,Inputs!A57*0.22/12,0)</f>
        <v>1283.333333333333</v>
      </c>
      <c r="E24" s="46">
        <f>IFERROR(ROUNDUP(Inputs!B57/B24,0),0)</f>
        <v>10</v>
      </c>
      <c r="H24" s="1"/>
    </row>
    <row r="25" spans="1:52">
      <c r="A25" s="46">
        <f>Inputs!A58</f>
        <v>400000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300000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42946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42917</v>
      </c>
      <c r="F33" t="s">
        <v>171</v>
      </c>
      <c r="G33" s="128">
        <f>IF(Inputs!B79="","",DATE(YEAR(Inputs!B79),MONTH(Inputs!B79),DAY(Inputs!B79)))</f>
        <v>42916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42975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42948</v>
      </c>
      <c r="F34" t="s">
        <v>172</v>
      </c>
      <c r="G34" s="128">
        <f>IF(Inputs!B80="","",DATE(YEAR(Inputs!B80),MONTH(Inputs!B80),DAY(Inputs!B80)))</f>
        <v>42946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43006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42979</v>
      </c>
      <c r="F35" t="s">
        <v>174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43036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43009</v>
      </c>
      <c r="F36" t="s">
        <v>175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43067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43040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43097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43070</v>
      </c>
      <c r="F38" t="s">
        <v>237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43128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43101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43159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43132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43187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43160</v>
      </c>
      <c r="F41" t="s">
        <v>238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43218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43191</v>
      </c>
      <c r="F42" t="s">
        <v>239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43248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43279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272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289</v>
      </c>
      <c r="C22" s="10" t="s">
        <v>290</v>
      </c>
      <c r="D22" s="10" t="s">
        <v>291</v>
      </c>
      <c r="E22" s="10" t="s">
        <v>292</v>
      </c>
      <c r="F22" s="10" t="s">
        <v>293</v>
      </c>
      <c r="G22" s="10" t="s">
        <v>294</v>
      </c>
      <c r="H22" s="10" t="s">
        <v>295</v>
      </c>
      <c r="I22" s="10" t="s">
        <v>212</v>
      </c>
      <c r="J22" s="10" t="s">
        <v>296</v>
      </c>
      <c r="K22" s="10" t="s">
        <v>297</v>
      </c>
      <c r="L22" s="10" t="s">
        <v>298</v>
      </c>
      <c r="M22" s="10" t="s">
        <v>299</v>
      </c>
      <c r="N22" s="10" t="s">
        <v>300</v>
      </c>
      <c r="O22" s="10" t="s">
        <v>301</v>
      </c>
      <c r="P22" s="10" t="s">
        <v>302</v>
      </c>
    </row>
    <row r="23" spans="1:36" s="21" customFormat="1">
      <c r="A23" s="21" t="s">
        <v>112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274</v>
      </c>
      <c r="D24" s="115" t="s">
        <v>274</v>
      </c>
      <c r="E24" s="106">
        <v>0.05</v>
      </c>
      <c r="F24" s="106">
        <v>0.1</v>
      </c>
      <c r="G24" s="106">
        <v>0.2</v>
      </c>
      <c r="H24" s="116" t="s">
        <v>274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274</v>
      </c>
      <c r="J25" s="72" t="s">
        <v>274</v>
      </c>
      <c r="K25" s="72" t="s">
        <v>274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274</v>
      </c>
      <c r="D26" s="115" t="s">
        <v>274</v>
      </c>
      <c r="E26" s="106">
        <v>0.2</v>
      </c>
      <c r="F26" s="106">
        <v>0.7</v>
      </c>
      <c r="G26" s="106">
        <v>2</v>
      </c>
      <c r="H26" s="116" t="s">
        <v>274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274</v>
      </c>
      <c r="D27" s="115" t="s">
        <v>274</v>
      </c>
      <c r="E27" s="106">
        <v>0.15</v>
      </c>
      <c r="F27" s="106">
        <v>0.25</v>
      </c>
      <c r="G27" s="106">
        <v>1</v>
      </c>
      <c r="H27" s="116" t="s">
        <v>274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274</v>
      </c>
      <c r="D28" s="115" t="s">
        <v>274</v>
      </c>
      <c r="E28" s="106">
        <v>0.15</v>
      </c>
      <c r="F28" s="106">
        <v>0.25</v>
      </c>
      <c r="G28" s="106">
        <v>1</v>
      </c>
      <c r="H28" s="116" t="s">
        <v>274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312</v>
      </c>
      <c r="B29" s="118" t="s">
        <v>306</v>
      </c>
      <c r="C29" s="31" t="s">
        <v>274</v>
      </c>
      <c r="D29" s="31" t="s">
        <v>274</v>
      </c>
      <c r="E29" s="24">
        <v>0.1</v>
      </c>
      <c r="F29" s="24">
        <v>0.2</v>
      </c>
      <c r="G29" s="24">
        <v>0</v>
      </c>
      <c r="H29" s="31" t="s">
        <v>274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313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315</v>
      </c>
      <c r="B34" s="11" t="s">
        <v>316</v>
      </c>
    </row>
    <row r="35" spans="1:36">
      <c r="A35" t="s">
        <v>317</v>
      </c>
      <c r="B35" s="72">
        <v>60</v>
      </c>
      <c r="C35" s="86"/>
    </row>
    <row r="36" spans="1:36">
      <c r="A36" t="s">
        <v>318</v>
      </c>
      <c r="B36" s="72">
        <v>2000</v>
      </c>
      <c r="C36" s="86"/>
    </row>
    <row r="37" spans="1:36">
      <c r="A37" t="s">
        <v>319</v>
      </c>
      <c r="B37" s="2">
        <v>0.4</v>
      </c>
    </row>
    <row r="39" spans="1:36">
      <c r="A39" s="3" t="s">
        <v>320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321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312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282</v>
      </c>
      <c r="E52" s="12" t="s">
        <v>282</v>
      </c>
      <c r="F52" s="12" t="s">
        <v>282</v>
      </c>
      <c r="G52" s="12" t="s">
        <v>323</v>
      </c>
      <c r="H52" s="12" t="s">
        <v>324</v>
      </c>
      <c r="I52" s="12" t="s">
        <v>132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240</v>
      </c>
      <c r="E53" s="10" t="s">
        <v>199</v>
      </c>
      <c r="F53" s="10" t="s">
        <v>259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177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236</v>
      </c>
      <c r="J76" s="11" t="s">
        <v>357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93</v>
      </c>
      <c r="F77" s="12" t="s">
        <v>93</v>
      </c>
      <c r="G77" s="12" t="s">
        <v>359</v>
      </c>
      <c r="H77" s="12" t="s">
        <v>324</v>
      </c>
      <c r="I77" s="12" t="s">
        <v>360</v>
      </c>
      <c r="J77" s="136" t="s">
        <v>361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362</v>
      </c>
      <c r="D78" s="133"/>
      <c r="E78" s="12" t="s">
        <v>363</v>
      </c>
      <c r="F78" s="12" t="s">
        <v>364</v>
      </c>
      <c r="G78" s="12" t="s">
        <v>365</v>
      </c>
      <c r="H78" s="12" t="s">
        <v>132</v>
      </c>
      <c r="I78" s="12" t="s">
        <v>366</v>
      </c>
      <c r="J78" s="70" t="s">
        <v>367</v>
      </c>
      <c r="K78" s="12" t="s">
        <v>93</v>
      </c>
      <c r="AJ78" s="12"/>
    </row>
    <row r="79" spans="1:36">
      <c r="B79" s="176">
        <v>10</v>
      </c>
      <c r="C79" s="12" t="s">
        <v>165</v>
      </c>
      <c r="D79" s="12">
        <v>1</v>
      </c>
      <c r="E79" s="12" t="s">
        <v>368</v>
      </c>
      <c r="F79" s="12" t="s">
        <v>369</v>
      </c>
      <c r="G79" s="12" t="s">
        <v>111</v>
      </c>
      <c r="I79" s="12" t="s">
        <v>177</v>
      </c>
      <c r="J79" s="70" t="s">
        <v>370</v>
      </c>
      <c r="K79" s="12" t="s">
        <v>93</v>
      </c>
      <c r="AJ79" s="12"/>
    </row>
    <row r="80" spans="1:36">
      <c r="B80" s="176">
        <v>20</v>
      </c>
      <c r="C80" s="12" t="s">
        <v>164</v>
      </c>
      <c r="D80" s="12">
        <f>D79+1</f>
        <v>2</v>
      </c>
      <c r="E80" s="12" t="s">
        <v>91</v>
      </c>
      <c r="F80" s="12" t="s">
        <v>371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163</v>
      </c>
      <c r="D81" s="12">
        <f>D80+1</f>
        <v>3</v>
      </c>
      <c r="J81" s="70" t="s">
        <v>372</v>
      </c>
      <c r="K81" s="12" t="s">
        <v>92</v>
      </c>
    </row>
    <row r="82" spans="1:36">
      <c r="B82" s="176">
        <v>40</v>
      </c>
      <c r="C82" s="12" t="s">
        <v>162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126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375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