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<sst xmlns="http://schemas.openxmlformats.org/spreadsheetml/2006/main" uniqueCount="366">
  <si>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</si>
  <si>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</si>
  <si>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</si>
  <si>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</si>
  <si>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</si>
  <si>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</si>
  <si>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</si>
  <si>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</si>
  <si>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</si>
  <si>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</si>
  <si>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</si>
  <si>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</si>
  <si>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</si>
  <si>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</si>
  <si>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</si>
  <si>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</si>
  <si>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</si>
  <si>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</si>
  <si>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</si>
  <si>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</si>
  <si>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</si>
  <si>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</si>
  <si>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</si>
  <si>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</si>
  <si>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</si>
  <si>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</si>
  <si>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</si>
  <si>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</si>
  <si>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</si>
  <si>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</si>
  <si>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</si>
  <si>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</si>
  <si>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</si>
  <si>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</si>
  <si>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</si>
  <si>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</si>
  <si>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</si>
  <si>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</si>
  <si>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</si>
  <si>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</si>
  <si>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</si>
  <si>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</si>
  <si>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</si>
  <si>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</si>
  <si>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</si>
  <si>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</si>
  <si>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</si>
  <si>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</si>
  <si>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</si>
  <si>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</si>
  <si>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</si>
  <si>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</si>
  <si>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</si>
  <si>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</si>
  <si>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</si>
  <si>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</si>
  <si>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</si>
  <si>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</si>
  <si>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</si>
  <si>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</si>
  <si>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</si>
  <si>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</si>
  <si>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</si>
  <si>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</si>
  <si>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</si>
  <si>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</si>
  <si>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</si>
  <si>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</si>
  <si>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</si>
  <si>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</si>
  <si>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</si>
  <si>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</si>
  <si>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</si>
  <si>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</si>
  <si>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</si>
  <si>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</si>
  <si>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</si>
  <si>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</si>
  <si>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</si>
  <si>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</si>
  <si>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</si>
  <si>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</si>
  <si>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</si>
  <si>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</si>
  <si>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</si>
  <si>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</si>
  <si>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</si>
  <si>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</si>
  <si>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</si>
  <si>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Coffee</t>
  </si>
  <si>
    <t>Shop_certified variety</t>
  </si>
  <si>
    <t>Yes both manure and inorganic</t>
  </si>
  <si>
    <t>Yes</t>
  </si>
  <si>
    <t>No</t>
  </si>
  <si>
    <t>no planting_trees are mature</t>
  </si>
  <si>
    <t>Bananas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</si>
  <si>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</si>
  <si>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</si>
  <si>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</si>
  <si>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</si>
  <si>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</si>
  <si>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</si>
  <si>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</si>
  <si>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</si>
  <si>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</si>
  <si>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</si>
  <si>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</si>
  <si>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</si>
  <si>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</si>
  <si>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</si>
  <si>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</si>
  <si>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</si>
  <si>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Chicken_layers</t>
  </si>
  <si>
    <t>Sheep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</si>
  <si>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</si>
  <si>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</si>
  <si>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</si>
  <si>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</si>
  <si>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</si>
  <si>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Kindergaten and water selling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</si>
  <si>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</si>
  <si>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</si>
  <si>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</si>
  <si>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</si>
  <si>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</si>
  <si>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</si>
  <si>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</si>
  <si>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</si>
  <si>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</si>
  <si>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</si>
  <si>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</si>
  <si>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</si>
  <si>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</si>
  <si>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</si>
  <si>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</si>
  <si>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</si>
  <si>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</si>
  <si>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</si>
  <si>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</si>
  <si>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</si>
  <si>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</si>
  <si>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</si>
  <si>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</si>
  <si>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</si>
  <si>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</si>
  <si>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</si>
  <si>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</si>
  <si>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</si>
  <si>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</si>
  <si>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</si>
  <si>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</si>
  <si>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</si>
  <si>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</si>
  <si>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</si>
  <si>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</si>
  <si>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</si>
  <si>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</si>
  <si>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</si>
  <si>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2017/6/30</t>
  </si>
  <si>
    <t>Loan terms</t>
  </si>
  <si>
    <t>Expected disbursement date</t>
  </si>
  <si>
    <t>Expected first repayment date</t>
  </si>
  <si>
    <t>2017/8/10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</si>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</sst>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Coffee,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Sheep, Chicken: sale of ex layers</v>
      </c>
    </row>
    <row r="8" spans="1:7">
      <c r="B8" s="1" t="s">
        <v>4</v>
      </c>
      <c r="C8" t="str">
        <f>IF(Inputs!B29="","None",Inputs!B29)</f>
        <v>Kindergaten and water selling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0.2034645326237042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0.2082082082082082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791735.840634901</v>
      </c>
    </row>
    <row r="18" spans="1:7">
      <c r="B18" s="1" t="s">
        <v>12</v>
      </c>
      <c r="C18" s="36">
        <f>MIN(Output!B6:M6)</f>
        <v>62864.08237074273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67911.11470227966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67911.11470227966</v>
      </c>
      <c r="C6" s="51">
        <f>C30-C88</f>
        <v>67911.11470227966</v>
      </c>
      <c r="D6" s="51">
        <f>D30-D88</f>
        <v>64882.89530335752</v>
      </c>
      <c r="E6" s="51">
        <f>E30-E88</f>
        <v>62864.08237074273</v>
      </c>
      <c r="F6" s="51">
        <f>F30-F88</f>
        <v>64882.89530335752</v>
      </c>
      <c r="G6" s="51">
        <f>G30-G88</f>
        <v>66901.70823597231</v>
      </c>
      <c r="H6" s="51">
        <f>H30-H88</f>
        <v>67911.11470227966</v>
      </c>
      <c r="I6" s="51">
        <f>I30-I88</f>
        <v>65911.11470227966</v>
      </c>
      <c r="J6" s="51">
        <f>J30-J88</f>
        <v>67911.11470227966</v>
      </c>
      <c r="K6" s="51">
        <f>K30-K88</f>
        <v>66901.70823597231</v>
      </c>
      <c r="L6" s="51">
        <f>L30-L88</f>
        <v>64882.89530335752</v>
      </c>
      <c r="M6" s="51">
        <f>M30-M88</f>
        <v>62864.08237074273</v>
      </c>
      <c r="N6" s="51">
        <f>N30-N88</f>
        <v>67911.11470227966</v>
      </c>
      <c r="O6" s="51">
        <f>O30-O88</f>
        <v>67911.11470227966</v>
      </c>
      <c r="P6" s="51">
        <f>P30-P88</f>
        <v>64882.89530335752</v>
      </c>
      <c r="Q6" s="51">
        <f>Q30-Q88</f>
        <v>62864.08237074273</v>
      </c>
      <c r="R6" s="51">
        <f>R30-R88</f>
        <v>64882.89530335752</v>
      </c>
      <c r="S6" s="51">
        <f>S30-S88</f>
        <v>75651.70823597231</v>
      </c>
      <c r="T6" s="51">
        <f>T30-T88</f>
        <v>67911.11470227966</v>
      </c>
      <c r="U6" s="51">
        <f>U30-U88</f>
        <v>65911.11470227966</v>
      </c>
      <c r="V6" s="51">
        <f>V30-V88</f>
        <v>67911.11470227966</v>
      </c>
      <c r="W6" s="51">
        <f>W30-W88</f>
        <v>66901.70823597231</v>
      </c>
      <c r="X6" s="51">
        <f>X30-X88</f>
        <v>64882.89530335752</v>
      </c>
      <c r="Y6" s="51">
        <f>Y30-Y88</f>
        <v>62864.08237074273</v>
      </c>
      <c r="Z6" s="51">
        <f>SUMIF($B$13:$Y$13,"Yes",B6:Y6)</f>
        <v>1592221.681269802</v>
      </c>
      <c r="AA6" s="51">
        <f>AA30-AA88</f>
        <v>791735.840634901</v>
      </c>
      <c r="AB6" s="51">
        <f>AB30-AB88</f>
        <v>1592221.681269803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63895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-43580</v>
      </c>
      <c r="J7" s="80">
        <f>IF(ISERROR(VLOOKUP(MONTH(J5),Inputs!$D$66:$D$71,1,0)),"",INDEX(Inputs!$B$66:$B$71,MATCH(MONTH(Output!J5),Inputs!$D$66:$D$71,0))-INDEX(Inputs!$C$66:$C$71,MATCH(MONTH(Output!J5),Inputs!$D$66:$D$71,0)))</f>
        <v>66010</v>
      </c>
      <c r="K7" s="80">
        <f>IF(ISERROR(VLOOKUP(MONTH(K5),Inputs!$D$66:$D$71,1,0)),"",INDEX(Inputs!$B$66:$B$71,MATCH(MONTH(Output!K5),Inputs!$D$66:$D$71,0))-INDEX(Inputs!$C$66:$C$71,MATCH(MONTH(Output!K5),Inputs!$D$66:$D$71,0)))</f>
        <v>69054</v>
      </c>
      <c r="L7" s="80">
        <f>IF(ISERROR(VLOOKUP(MONTH(L5),Inputs!$D$66:$D$71,1,0)),"",INDEX(Inputs!$B$66:$B$71,MATCH(MONTH(Output!L5),Inputs!$D$66:$D$71,0))-INDEX(Inputs!$C$66:$C$71,MATCH(MONTH(Output!L5),Inputs!$D$66:$D$71,0)))</f>
        <v>35471</v>
      </c>
      <c r="M7" s="80">
        <f>IF(ISERROR(VLOOKUP(MONTH(M5),Inputs!$D$66:$D$71,1,0)),"",INDEX(Inputs!$B$66:$B$71,MATCH(MONTH(Output!M5),Inputs!$D$66:$D$71,0))-INDEX(Inputs!$C$66:$C$71,MATCH(MONTH(Output!M5),Inputs!$D$66:$D$71,0)))</f>
        <v>84234</v>
      </c>
      <c r="N7" s="80">
        <f>IF(ISERROR(VLOOKUP(MONTH(N5),Inputs!$D$66:$D$71,1,0)),"",INDEX(Inputs!$B$66:$B$71,MATCH(MONTH(Output!N5),Inputs!$D$66:$D$71,0))-INDEX(Inputs!$C$66:$C$71,MATCH(MONTH(Output!N5),Inputs!$D$66:$D$71,0)))</f>
        <v>63895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-43580</v>
      </c>
      <c r="V7" s="80">
        <f>IF(ISERROR(VLOOKUP(MONTH(V5),Inputs!$D$66:$D$71,1,0)),"",INDEX(Inputs!$B$66:$B$71,MATCH(MONTH(Output!V5),Inputs!$D$66:$D$71,0))-INDEX(Inputs!$C$66:$C$71,MATCH(MONTH(Output!V5),Inputs!$D$66:$D$71,0)))</f>
        <v>66010</v>
      </c>
      <c r="W7" s="80">
        <f>IF(ISERROR(VLOOKUP(MONTH(W5),Inputs!$D$66:$D$71,1,0)),"",INDEX(Inputs!$B$66:$B$71,MATCH(MONTH(Output!W5),Inputs!$D$66:$D$71,0))-INDEX(Inputs!$C$66:$C$71,MATCH(MONTH(Output!W5),Inputs!$D$66:$D$71,0)))</f>
        <v>69054</v>
      </c>
      <c r="X7" s="80">
        <f>IF(ISERROR(VLOOKUP(MONTH(X5),Inputs!$D$66:$D$71,1,0)),"",INDEX(Inputs!$B$66:$B$71,MATCH(MONTH(Output!X5),Inputs!$D$66:$D$71,0))-INDEX(Inputs!$C$66:$C$71,MATCH(MONTH(Output!X5),Inputs!$D$66:$D$71,0)))</f>
        <v>35471</v>
      </c>
      <c r="Y7" s="80">
        <f>IF(ISERROR(VLOOKUP(MONTH(Y5),Inputs!$D$66:$D$71,1,0)),"",INDEX(Inputs!$B$66:$B$71,MATCH(MONTH(Output!Y5),Inputs!$D$66:$D$71,0))-INDEX(Inputs!$C$66:$C$71,MATCH(MONTH(Output!Y5),Inputs!$D$66:$D$71,0)))</f>
        <v>84234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385000</v>
      </c>
      <c r="AA10" s="37">
        <f>SUM(B10:M10)</f>
        <v>175000</v>
      </c>
      <c r="AB10" s="37">
        <f>SUM(B10:Y10)</f>
        <v>385000</v>
      </c>
    </row>
    <row r="11" spans="1:30" customHeight="1" ht="15.75">
      <c r="A11" s="43" t="s">
        <v>31</v>
      </c>
      <c r="B11" s="80">
        <f>B6+B9-B10</f>
        <v>367911.1147022797</v>
      </c>
      <c r="C11" s="80">
        <f>C6+C9-C10</f>
        <v>67911.11470227966</v>
      </c>
      <c r="D11" s="80">
        <f>D6+D9-D10</f>
        <v>47382.89530335752</v>
      </c>
      <c r="E11" s="80">
        <f>E6+E9-E10</f>
        <v>45364.08237074273</v>
      </c>
      <c r="F11" s="80">
        <f>F6+F9-F10</f>
        <v>47382.89530335752</v>
      </c>
      <c r="G11" s="80">
        <f>G6+G9-G10</f>
        <v>49401.70823597231</v>
      </c>
      <c r="H11" s="80">
        <f>H6+H9-H10</f>
        <v>50411.11470227966</v>
      </c>
      <c r="I11" s="80">
        <f>I6+I9-I10</f>
        <v>48411.11470227966</v>
      </c>
      <c r="J11" s="80">
        <f>J6+J9-J10</f>
        <v>50411.11470227966</v>
      </c>
      <c r="K11" s="80">
        <f>K6+K9-K10</f>
        <v>49401.70823597231</v>
      </c>
      <c r="L11" s="80">
        <f>L6+L9-L10</f>
        <v>47382.89530335752</v>
      </c>
      <c r="M11" s="80">
        <f>M6+M9-M10</f>
        <v>45364.08237074273</v>
      </c>
      <c r="N11" s="80">
        <f>N6+N9-N10</f>
        <v>50411.11470227966</v>
      </c>
      <c r="O11" s="80">
        <f>O6+O9-O10</f>
        <v>50411.11470227966</v>
      </c>
      <c r="P11" s="80">
        <f>P6+P9-P10</f>
        <v>47382.89530335752</v>
      </c>
      <c r="Q11" s="80">
        <f>Q6+Q9-Q10</f>
        <v>45364.08237074273</v>
      </c>
      <c r="R11" s="80">
        <f>R6+R9-R10</f>
        <v>47382.89530335752</v>
      </c>
      <c r="S11" s="80">
        <f>S6+S9-S10</f>
        <v>58151.70823597231</v>
      </c>
      <c r="T11" s="80">
        <f>T6+T9-T10</f>
        <v>50411.11470227966</v>
      </c>
      <c r="U11" s="80">
        <f>U6+U9-U10</f>
        <v>48411.11470227966</v>
      </c>
      <c r="V11" s="80">
        <f>V6+V9-V10</f>
        <v>50411.11470227966</v>
      </c>
      <c r="W11" s="80">
        <f>W6+W9-W10</f>
        <v>49401.70823597231</v>
      </c>
      <c r="X11" s="80">
        <f>X6+X9-X10</f>
        <v>47382.89530335752</v>
      </c>
      <c r="Y11" s="80">
        <f>Y6+Y9-Y10</f>
        <v>45364.08237074273</v>
      </c>
      <c r="Z11" s="85">
        <f>SUMIF($B$13:$Y$13,"Yes",B11:Y11)</f>
        <v>1507221.681269802</v>
      </c>
      <c r="AA11" s="80">
        <f>SUM(B11:M11)</f>
        <v>916735.840634901</v>
      </c>
      <c r="AB11" s="46">
        <f>SUM(B11:Y11)</f>
        <v>1507221.681269802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0.03495071078053877</v>
      </c>
      <c r="E12" s="82">
        <f>IF(E13="Yes",IF(SUM($B$10:E10)/(SUM($B$6:E6)+SUM($B$9:E9))&lt;0,999.99,SUM($B$10:E10)/(SUM($B$6:E6)+SUM($B$9:E9))),"")</f>
        <v>0.06210417382707516</v>
      </c>
      <c r="F12" s="82">
        <f>IF(F13="Yes",IF(SUM($B$10:F10)/(SUM($B$6:F6)+SUM($B$9:F9))&lt;0,999.99,SUM($B$10:F10)/(SUM($B$6:F6)+SUM($B$9:F9))),"")</f>
        <v>0.08353858599726162</v>
      </c>
      <c r="G12" s="82">
        <f>IF(G13="Yes",IF(SUM($B$10:G10)/(SUM($B$6:G6)+SUM($B$9:G9))&lt;0,999.99,SUM($B$10:G10)/(SUM($B$6:G6)+SUM($B$9:G9))),"")</f>
        <v>0.1006681763026338</v>
      </c>
      <c r="H12" s="82">
        <f>IF(H13="Yes",IF(SUM($B$10:H10)/(SUM($B$6:H6)+SUM($B$9:H9))&lt;0,999.99,SUM($B$10:H10)/(SUM($B$6:H6)+SUM($B$9:H9))),"")</f>
        <v>0.114639094627969</v>
      </c>
      <c r="I12" s="82">
        <f>IF(I13="Yes",IF(SUM($B$10:I10)/(SUM($B$6:I6)+SUM($B$9:I9))&lt;0,999.99,SUM($B$10:I10)/(SUM($B$6:I6)+SUM($B$9:I9))),"")</f>
        <v>0.1266317343143979</v>
      </c>
      <c r="J12" s="82">
        <f>IF(J13="Yes",IF(SUM($B$10:J10)/(SUM($B$6:J6)+SUM($B$9:J9))&lt;0,999.99,SUM($B$10:J10)/(SUM($B$6:J6)+SUM($B$9:J9))),"")</f>
        <v>0.1365530643871225</v>
      </c>
      <c r="K12" s="82">
        <f>IF(K13="Yes",IF(SUM($B$10:K10)/(SUM($B$6:K6)+SUM($B$9:K9))&lt;0,999.99,SUM($B$10:K10)/(SUM($B$6:K6)+SUM($B$9:K9))),"")</f>
        <v>0.145229893600641</v>
      </c>
      <c r="L12" s="82">
        <f>IF(L13="Yes",IF(SUM($B$10:L10)/(SUM($B$6:L6)+SUM($B$9:L9))&lt;0,999.99,SUM($B$10:L10)/(SUM($B$6:L6)+SUM($B$9:L9))),"")</f>
        <v>0.153080302510901</v>
      </c>
      <c r="M12" s="82">
        <f>IF(M13="Yes",IF(SUM($B$10:M10)/(SUM($B$6:M6)+SUM($B$9:M9))&lt;0,999.99,SUM($B$10:M10)/(SUM($B$6:M6)+SUM($B$9:M9))),"")</f>
        <v>0.160295186332097</v>
      </c>
      <c r="N12" s="82">
        <f>IF(N13="Yes",IF(SUM($B$10:N10)/(SUM($B$6:N6)+SUM($B$9:N9))&lt;0,999.99,SUM($B$10:N10)/(SUM($B$6:N6)+SUM($B$9:N9))),"")</f>
        <v>0.1659987974047053</v>
      </c>
      <c r="O12" s="82">
        <f>IF(O13="Yes",IF(SUM($B$10:O10)/(SUM($B$6:O6)+SUM($B$9:O9))&lt;0,999.99,SUM($B$10:O10)/(SUM($B$6:O6)+SUM($B$9:O9))),"")</f>
        <v>0.1710713367663735</v>
      </c>
      <c r="P12" s="82">
        <f>IF(P13="Yes",IF(SUM($B$10:P10)/(SUM($B$6:P6)+SUM($B$9:P9))&lt;0,999.99,SUM($B$10:P10)/(SUM($B$6:P6)+SUM($B$9:P9))),"")</f>
        <v>0.1760235137236276</v>
      </c>
      <c r="Q12" s="82">
        <f>IF(Q13="Yes",IF(SUM($B$10:Q10)/(SUM($B$6:Q6)+SUM($B$9:Q9))&lt;0,999.99,SUM($B$10:Q10)/(SUM($B$6:Q6)+SUM($B$9:Q9))),"")</f>
        <v>0.1807711115761889</v>
      </c>
      <c r="R12" s="82">
        <f>IF(R13="Yes",IF(SUM($B$10:R10)/(SUM($B$6:R6)+SUM($B$9:R9))&lt;0,999.99,SUM($B$10:R10)/(SUM($B$6:R6)+SUM($B$9:R9))),"")</f>
        <v>0.1848346912749934</v>
      </c>
      <c r="S12" s="82">
        <f>IF(S13="Yes",IF(SUM($B$10:S10)/(SUM($B$6:S6)+SUM($B$9:S9))&lt;0,999.99,SUM($B$10:S10)/(SUM($B$6:S6)+SUM($B$9:S9))),"")</f>
        <v>0.1871858389136005</v>
      </c>
      <c r="T12" s="82">
        <f>IF(T13="Yes",IF(SUM($B$10:T10)/(SUM($B$6:T6)+SUM($B$9:T9))&lt;0,999.99,SUM($B$10:T10)/(SUM($B$6:T6)+SUM($B$9:T9))),"")</f>
        <v>0.1902477085715645</v>
      </c>
      <c r="U12" s="82">
        <f>IF(U13="Yes",IF(SUM($B$10:U10)/(SUM($B$6:U6)+SUM($B$9:U9))&lt;0,999.99,SUM($B$10:U10)/(SUM($B$6:U6)+SUM($B$9:U9))),"")</f>
        <v>0.1932916292261315</v>
      </c>
      <c r="V12" s="82">
        <f>IF(V13="Yes",IF(SUM($B$10:V10)/(SUM($B$6:V6)+SUM($B$9:V9))&lt;0,999.99,SUM($B$10:V10)/(SUM($B$6:V6)+SUM($B$9:V9))),"")</f>
        <v>0.1958678660115823</v>
      </c>
      <c r="W12" s="82">
        <f>IF(W13="Yes",IF(SUM($B$10:W10)/(SUM($B$6:W6)+SUM($B$9:W9))&lt;0,999.99,SUM($B$10:W10)/(SUM($B$6:W6)+SUM($B$9:W9))),"")</f>
        <v>0.1983593186611058</v>
      </c>
      <c r="X12" s="82">
        <f>IF(X13="Yes",IF(SUM($B$10:X10)/(SUM($B$6:X6)+SUM($B$9:X9))&lt;0,999.99,SUM($B$10:X10)/(SUM($B$6:X6)+SUM($B$9:X9))),"")</f>
        <v>0.200890192393859</v>
      </c>
      <c r="Y12" s="82">
        <f>IF(Y13="Yes",IF(SUM($B$10:Y10)/(SUM($B$6:Y6)+SUM($B$9:Y9))&lt;0,999.99,SUM($B$10:Y10)/(SUM($B$6:Y6)+SUM($B$9:Y9))),"")</f>
        <v>0.2034645326237042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Coffee</v>
      </c>
      <c r="B18" s="36">
        <f>N18</f>
        <v>5047.032331536935</v>
      </c>
      <c r="C18" s="36">
        <f>O18</f>
        <v>5047.032331536935</v>
      </c>
      <c r="D18" s="36">
        <f>P18</f>
        <v>2018.812932614773</v>
      </c>
      <c r="E18" s="36">
        <f>Q18</f>
        <v>0</v>
      </c>
      <c r="F18" s="36">
        <f>R18</f>
        <v>2018.812932614773</v>
      </c>
      <c r="G18" s="36">
        <f>S18</f>
        <v>4037.625865229547</v>
      </c>
      <c r="H18" s="36">
        <f>T18</f>
        <v>5047.032331536935</v>
      </c>
      <c r="I18" s="36">
        <f>U18</f>
        <v>5047.032331536935</v>
      </c>
      <c r="J18" s="36">
        <f>V18</f>
        <v>5047.032331536935</v>
      </c>
      <c r="K18" s="36">
        <f>W18</f>
        <v>4037.625865229547</v>
      </c>
      <c r="L18" s="36">
        <f>X18</f>
        <v>2018.812932614773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5047.032331536935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5047.032331536935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2018.812932614773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2018.812932614773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4037.625865229547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5047.032331536935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5047.032331536935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5047.032331536935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4037.625865229547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2018.812932614773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78733.70437197619</v>
      </c>
      <c r="AA18" s="36">
        <f>SUM(B18:M18)</f>
        <v>39366.85218598809</v>
      </c>
      <c r="AB18" s="36">
        <f>SUM(B18:Y18)</f>
        <v>78733.70437197619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19118.75</v>
      </c>
      <c r="C19" s="36">
        <f>O19</f>
        <v>19118.75</v>
      </c>
      <c r="D19" s="36">
        <f>P19</f>
        <v>19118.75</v>
      </c>
      <c r="E19" s="36">
        <f>Q19</f>
        <v>19118.75</v>
      </c>
      <c r="F19" s="36">
        <f>R19</f>
        <v>19118.75</v>
      </c>
      <c r="G19" s="36">
        <f>S19</f>
        <v>19118.75</v>
      </c>
      <c r="H19" s="36">
        <f>T19</f>
        <v>19118.75</v>
      </c>
      <c r="I19" s="36">
        <f>U19</f>
        <v>19118.75</v>
      </c>
      <c r="J19" s="36">
        <f>V19</f>
        <v>19118.75</v>
      </c>
      <c r="K19" s="36">
        <f>W19</f>
        <v>19118.75</v>
      </c>
      <c r="L19" s="36">
        <f>X19</f>
        <v>19118.75</v>
      </c>
      <c r="M19" s="36">
        <f>Y19</f>
        <v>19118.75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19118.75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19118.75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19118.75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19118.75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19118.75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19118.75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19118.75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19118.75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19118.75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19118.75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19118.75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19118.75</v>
      </c>
      <c r="Z19" s="36">
        <f>SUMIF($B$13:$Y$13,"Yes",B19:Y19)</f>
        <v>458850</v>
      </c>
      <c r="AA19" s="36">
        <f>SUM(B19:M19)</f>
        <v>229425</v>
      </c>
      <c r="AB19" s="36">
        <f>SUM(B19:Y19)</f>
        <v>458850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47660.90225563913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1040250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6083.333333333333</v>
      </c>
      <c r="C25" s="36">
        <f>IFERROR(Calculations!$P15/12,"")</f>
        <v>6083.333333333333</v>
      </c>
      <c r="D25" s="36">
        <f>IFERROR(Calculations!$P15/12,"")</f>
        <v>6083.333333333333</v>
      </c>
      <c r="E25" s="36">
        <f>IFERROR(Calculations!$P15/12,"")</f>
        <v>6083.333333333333</v>
      </c>
      <c r="F25" s="36">
        <f>IFERROR(Calculations!$P15/12,"")</f>
        <v>6083.333333333333</v>
      </c>
      <c r="G25" s="36">
        <f>IFERROR(Calculations!$P15/12,"")</f>
        <v>6083.333333333333</v>
      </c>
      <c r="H25" s="36">
        <f>IFERROR(Calculations!$P15/12,"")</f>
        <v>6083.333333333333</v>
      </c>
      <c r="I25" s="36">
        <f>IFERROR(Calculations!$P15/12,"")</f>
        <v>6083.333333333333</v>
      </c>
      <c r="J25" s="36">
        <f>IFERROR(Calculations!$P15/12,"")</f>
        <v>6083.333333333333</v>
      </c>
      <c r="K25" s="36">
        <f>IFERROR(Calculations!$P15/12,"")</f>
        <v>6083.333333333333</v>
      </c>
      <c r="L25" s="36">
        <f>IFERROR(Calculations!$P15/12,"")</f>
        <v>6083.333333333333</v>
      </c>
      <c r="M25" s="36">
        <f>IFERROR(Calculations!$P15/12,"")</f>
        <v>6083.333333333333</v>
      </c>
      <c r="N25" s="36">
        <f>IFERROR(Calculations!$P15/12,"")</f>
        <v>6083.333333333333</v>
      </c>
      <c r="O25" s="36">
        <f>IFERROR(Calculations!$P15/12,"")</f>
        <v>6083.333333333333</v>
      </c>
      <c r="P25" s="36">
        <f>IFERROR(Calculations!$P15/12,"")</f>
        <v>6083.333333333333</v>
      </c>
      <c r="Q25" s="36">
        <f>IFERROR(Calculations!$P15/12,"")</f>
        <v>6083.333333333333</v>
      </c>
      <c r="R25" s="36">
        <f>IFERROR(Calculations!$P15/12,"")</f>
        <v>6083.333333333333</v>
      </c>
      <c r="S25" s="36">
        <f>IFERROR(Calculations!$P15/12,"")</f>
        <v>6083.333333333333</v>
      </c>
      <c r="T25" s="36">
        <f>IFERROR(Calculations!$P15/12,"")</f>
        <v>6083.333333333333</v>
      </c>
      <c r="U25" s="36">
        <f>IFERROR(Calculations!$P15/12,"")</f>
        <v>6083.333333333333</v>
      </c>
      <c r="V25" s="36">
        <f>IFERROR(Calculations!$P15/12,"")</f>
        <v>6083.333333333333</v>
      </c>
      <c r="W25" s="36">
        <f>IFERROR(Calculations!$P15/12,"")</f>
        <v>6083.333333333333</v>
      </c>
      <c r="X25" s="36">
        <f>IFERROR(Calculations!$P15/12,"")</f>
        <v>6083.333333333333</v>
      </c>
      <c r="Y25" s="36">
        <f>IFERROR(Calculations!$P15/12,"")</f>
        <v>6083.333333333333</v>
      </c>
      <c r="Z25" s="36">
        <f>SUMIF($B$13:$Y$13,"Yes",B25:Y25)</f>
        <v>146000</v>
      </c>
      <c r="AA25" s="36">
        <f>SUM(B25:M25)</f>
        <v>73000</v>
      </c>
      <c r="AB25" s="46">
        <f>SUM(B25:Y25)</f>
        <v>146000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2500</v>
      </c>
      <c r="C26" s="36">
        <f>IFERROR(Calculations!$P16/12,"")</f>
        <v>2500</v>
      </c>
      <c r="D26" s="36">
        <f>IFERROR(Calculations!$P16/12,"")</f>
        <v>2500</v>
      </c>
      <c r="E26" s="36">
        <f>IFERROR(Calculations!$P16/12,"")</f>
        <v>2500</v>
      </c>
      <c r="F26" s="36">
        <f>IFERROR(Calculations!$P16/12,"")</f>
        <v>2500</v>
      </c>
      <c r="G26" s="36">
        <f>IFERROR(Calculations!$P16/12,"")</f>
        <v>2500</v>
      </c>
      <c r="H26" s="36">
        <f>IFERROR(Calculations!$P16/12,"")</f>
        <v>2500</v>
      </c>
      <c r="I26" s="36">
        <f>IFERROR(Calculations!$P16/12,"")</f>
        <v>2500</v>
      </c>
      <c r="J26" s="36">
        <f>IFERROR(Calculations!$P16/12,"")</f>
        <v>2500</v>
      </c>
      <c r="K26" s="36">
        <f>IFERROR(Calculations!$P16/12,"")</f>
        <v>2500</v>
      </c>
      <c r="L26" s="36">
        <f>IFERROR(Calculations!$P16/12,"")</f>
        <v>2500</v>
      </c>
      <c r="M26" s="36">
        <f>IFERROR(Calculations!$P16/12,"")</f>
        <v>2500</v>
      </c>
      <c r="N26" s="36">
        <f>IFERROR(Calculations!$P16/12,"")</f>
        <v>2500</v>
      </c>
      <c r="O26" s="36">
        <f>IFERROR(Calculations!$P16/12,"")</f>
        <v>2500</v>
      </c>
      <c r="P26" s="36">
        <f>IFERROR(Calculations!$P16/12,"")</f>
        <v>2500</v>
      </c>
      <c r="Q26" s="36">
        <f>IFERROR(Calculations!$P16/12,"")</f>
        <v>2500</v>
      </c>
      <c r="R26" s="36">
        <f>IFERROR(Calculations!$P16/12,"")</f>
        <v>2500</v>
      </c>
      <c r="S26" s="36">
        <f>IFERROR(Calculations!$P16/12,"")</f>
        <v>2500</v>
      </c>
      <c r="T26" s="36">
        <f>IFERROR(Calculations!$P16/12,"")</f>
        <v>2500</v>
      </c>
      <c r="U26" s="36">
        <f>IFERROR(Calculations!$P16/12,"")</f>
        <v>2500</v>
      </c>
      <c r="V26" s="36">
        <f>IFERROR(Calculations!$P16/12,"")</f>
        <v>2500</v>
      </c>
      <c r="W26" s="36">
        <f>IFERROR(Calculations!$P16/12,"")</f>
        <v>2500</v>
      </c>
      <c r="X26" s="36">
        <f>IFERROR(Calculations!$P16/12,"")</f>
        <v>2500</v>
      </c>
      <c r="Y26" s="36">
        <f>IFERROR(Calculations!$P16/12,"")</f>
        <v>2500</v>
      </c>
      <c r="Z26" s="36">
        <f>SUMIF($B$13:$Y$13,"Yes",B26:Y26)</f>
        <v>60000</v>
      </c>
      <c r="AA26" s="36">
        <f>SUM(B26:M26)</f>
        <v>30000</v>
      </c>
      <c r="AB26" s="46">
        <f>SUM(B26:Y26)</f>
        <v>60000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8750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8750</v>
      </c>
      <c r="AA27" s="36">
        <f>SUM(B27:M27)</f>
        <v>0</v>
      </c>
      <c r="AB27" s="46">
        <f>SUM(B27:Y27)</f>
        <v>8750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1560000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141092.8656648702</v>
      </c>
      <c r="C30" s="19">
        <f>SUM(C18:C29)</f>
        <v>141092.8656648702</v>
      </c>
      <c r="D30" s="19">
        <f>SUM(D18:D29)</f>
        <v>138064.6462659481</v>
      </c>
      <c r="E30" s="19">
        <f>SUM(E18:E29)</f>
        <v>136045.8333333333</v>
      </c>
      <c r="F30" s="19">
        <f>SUM(F18:F29)</f>
        <v>138064.6462659481</v>
      </c>
      <c r="G30" s="19">
        <f>SUM(G18:G29)</f>
        <v>140083.4591985629</v>
      </c>
      <c r="H30" s="19">
        <f>SUM(H18:H29)</f>
        <v>141092.8656648702</v>
      </c>
      <c r="I30" s="19">
        <f>SUM(I18:I29)</f>
        <v>141092.8656648702</v>
      </c>
      <c r="J30" s="19">
        <f>SUM(J18:J29)</f>
        <v>141092.8656648702</v>
      </c>
      <c r="K30" s="19">
        <f>SUM(K18:K29)</f>
        <v>140083.4591985629</v>
      </c>
      <c r="L30" s="19">
        <f>SUM(L18:L29)</f>
        <v>138064.6462659481</v>
      </c>
      <c r="M30" s="19">
        <f>SUM(M18:M29)</f>
        <v>136045.8333333333</v>
      </c>
      <c r="N30" s="19">
        <f>SUM(N18:N29)</f>
        <v>141092.8656648702</v>
      </c>
      <c r="O30" s="19">
        <f>SUM(O18:O29)</f>
        <v>141092.8656648702</v>
      </c>
      <c r="P30" s="19">
        <f>SUM(P18:P29)</f>
        <v>138064.6462659481</v>
      </c>
      <c r="Q30" s="19">
        <f>SUM(Q18:Q29)</f>
        <v>136045.8333333333</v>
      </c>
      <c r="R30" s="19">
        <f>SUM(R18:R29)</f>
        <v>138064.6462659481</v>
      </c>
      <c r="S30" s="19">
        <f>SUM(S18:S29)</f>
        <v>148833.4591985629</v>
      </c>
      <c r="T30" s="19">
        <f>SUM(T18:T29)</f>
        <v>141092.8656648702</v>
      </c>
      <c r="U30" s="19">
        <f>SUM(U18:U29)</f>
        <v>141092.8656648702</v>
      </c>
      <c r="V30" s="19">
        <f>SUM(V18:V29)</f>
        <v>141092.8656648702</v>
      </c>
      <c r="W30" s="19">
        <f>SUM(W18:W29)</f>
        <v>140083.4591985629</v>
      </c>
      <c r="X30" s="19">
        <f>SUM(X18:X29)</f>
        <v>138064.6462659481</v>
      </c>
      <c r="Y30" s="19">
        <f>SUM(Y18:Y29)</f>
        <v>136045.8333333333</v>
      </c>
      <c r="Z30" s="19">
        <f>SUMIF($B$13:$Y$13,"Yes",B30:Y30)</f>
        <v>3352583.704371977</v>
      </c>
      <c r="AA30" s="19">
        <f>SUM(B30:M30)</f>
        <v>1671916.852185988</v>
      </c>
      <c r="AB30" s="19">
        <f>SUM(B30:Y30)</f>
        <v>3352583.704371977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500</v>
      </c>
      <c r="C36" s="36">
        <f>O36</f>
        <v>500</v>
      </c>
      <c r="D36" s="36">
        <f>P36</f>
        <v>500</v>
      </c>
      <c r="E36" s="36">
        <f>Q36</f>
        <v>500</v>
      </c>
      <c r="F36" s="36">
        <f>R36</f>
        <v>500</v>
      </c>
      <c r="G36" s="36">
        <f>S36</f>
        <v>500</v>
      </c>
      <c r="H36" s="36">
        <f>T36</f>
        <v>500</v>
      </c>
      <c r="I36" s="36">
        <f>U36</f>
        <v>500</v>
      </c>
      <c r="J36" s="36">
        <f>V36</f>
        <v>500</v>
      </c>
      <c r="K36" s="36">
        <f>W36</f>
        <v>500</v>
      </c>
      <c r="L36" s="36">
        <f>X36</f>
        <v>500</v>
      </c>
      <c r="M36" s="36">
        <f>Y36</f>
        <v>500</v>
      </c>
      <c r="N36" s="36">
        <f>SUM(N37:N41)</f>
        <v>500</v>
      </c>
      <c r="O36" s="36">
        <f>SUM(O37:O41)</f>
        <v>500</v>
      </c>
      <c r="P36" s="36">
        <f>SUM(P37:P41)</f>
        <v>500</v>
      </c>
      <c r="Q36" s="36">
        <f>SUM(Q37:Q41)</f>
        <v>500</v>
      </c>
      <c r="R36" s="36">
        <f>SUM(R37:R41)</f>
        <v>500</v>
      </c>
      <c r="S36" s="36">
        <f>SUM(S37:S41)</f>
        <v>500</v>
      </c>
      <c r="T36" s="36">
        <f>SUM(T37:T41)</f>
        <v>500</v>
      </c>
      <c r="U36" s="36">
        <f>SUM(U37:U41)</f>
        <v>500</v>
      </c>
      <c r="V36" s="36">
        <f>SUM(V37:V41)</f>
        <v>500</v>
      </c>
      <c r="W36" s="36">
        <f>SUM(W37:W41)</f>
        <v>500</v>
      </c>
      <c r="X36" s="36">
        <f>SUM(X37:X41)</f>
        <v>500</v>
      </c>
      <c r="Y36" s="36">
        <f>SUM(Y37:Y41)</f>
        <v>500</v>
      </c>
      <c r="Z36" s="36">
        <f>SUMIF($B$13:$Y$13,"Yes",B36:Y36)</f>
        <v>12000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Coffee</v>
      </c>
      <c r="B37" s="36">
        <f>N37</f>
        <v>333.3333333333333</v>
      </c>
      <c r="C37" s="36">
        <f>O37</f>
        <v>333.3333333333333</v>
      </c>
      <c r="D37" s="36">
        <f>P37</f>
        <v>333.3333333333333</v>
      </c>
      <c r="E37" s="36">
        <f>Q37</f>
        <v>333.3333333333333</v>
      </c>
      <c r="F37" s="36">
        <f>R37</f>
        <v>333.3333333333333</v>
      </c>
      <c r="G37" s="36">
        <f>S37</f>
        <v>333.3333333333333</v>
      </c>
      <c r="H37" s="36">
        <f>T37</f>
        <v>333.3333333333333</v>
      </c>
      <c r="I37" s="36">
        <f>U37</f>
        <v>333.3333333333333</v>
      </c>
      <c r="J37" s="36">
        <f>V37</f>
        <v>333.3333333333333</v>
      </c>
      <c r="K37" s="36">
        <f>W37</f>
        <v>333.3333333333333</v>
      </c>
      <c r="L37" s="36">
        <f>X37</f>
        <v>333.3333333333333</v>
      </c>
      <c r="M37" s="36">
        <f>Y37</f>
        <v>333.3333333333333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333.3333333333333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333.3333333333333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333.3333333333333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333.3333333333333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333.3333333333333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333.3333333333333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333.3333333333333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333.3333333333333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333.3333333333333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333.3333333333333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333.3333333333333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333.3333333333333</v>
      </c>
      <c r="Z37" s="36">
        <f>SUMIF($B$13:$Y$13,"Yes",B37:Y37)</f>
        <v>7999.999999999997</v>
      </c>
      <c r="AA37" s="36">
        <f>SUM(B37:M37)</f>
        <v>4000</v>
      </c>
      <c r="AB37" s="36">
        <f>SUM(B37:Y37)</f>
        <v>7999.999999999997</v>
      </c>
      <c r="AC37" s="73"/>
    </row>
    <row r="38" spans="1:30" hidden="true" outlineLevel="1">
      <c r="A38" s="181" t="str">
        <f>Calculations!$A$5</f>
        <v>Bananas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3999.999999999999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Coffee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2000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2000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4000</v>
      </c>
      <c r="AA48" s="46">
        <f>SUM(B48:M48)</f>
        <v>2000</v>
      </c>
      <c r="AB48" s="46">
        <f>SUM(B48:Y48)</f>
        <v>4000</v>
      </c>
    </row>
    <row r="49" spans="1:30" hidden="true" outlineLevel="1">
      <c r="A49" s="181" t="str">
        <f>Calculations!$A$4</f>
        <v>Coffee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2000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2000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4000</v>
      </c>
      <c r="AA50" s="46">
        <f>SUM(B50:M50)</f>
        <v>2000</v>
      </c>
      <c r="AB50" s="46">
        <f>SUM(B50:Y50)</f>
        <v>4000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Coffee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Coffee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208.3333333333333</v>
      </c>
      <c r="C66" s="36">
        <f>O66</f>
        <v>208.3333333333333</v>
      </c>
      <c r="D66" s="36">
        <f>P66</f>
        <v>208.3333333333333</v>
      </c>
      <c r="E66" s="36">
        <f>Q66</f>
        <v>208.3333333333333</v>
      </c>
      <c r="F66" s="36">
        <f>R66</f>
        <v>208.3333333333333</v>
      </c>
      <c r="G66" s="36">
        <f>S66</f>
        <v>208.3333333333333</v>
      </c>
      <c r="H66" s="36">
        <f>T66</f>
        <v>208.3333333333333</v>
      </c>
      <c r="I66" s="36">
        <f>U66</f>
        <v>208.3333333333333</v>
      </c>
      <c r="J66" s="36">
        <f>V66</f>
        <v>208.3333333333333</v>
      </c>
      <c r="K66" s="36">
        <f>W66</f>
        <v>208.3333333333333</v>
      </c>
      <c r="L66" s="36">
        <f>X66</f>
        <v>208.3333333333333</v>
      </c>
      <c r="M66" s="36">
        <f>Y66</f>
        <v>208.3333333333333</v>
      </c>
      <c r="N66" s="46">
        <f>SUM(N67:N71)</f>
        <v>208.3333333333333</v>
      </c>
      <c r="O66" s="46">
        <f>SUM(O67:O71)</f>
        <v>208.3333333333333</v>
      </c>
      <c r="P66" s="46">
        <f>SUM(P67:P71)</f>
        <v>208.3333333333333</v>
      </c>
      <c r="Q66" s="46">
        <f>SUM(Q67:Q71)</f>
        <v>208.3333333333333</v>
      </c>
      <c r="R66" s="46">
        <f>SUM(R67:R71)</f>
        <v>208.3333333333333</v>
      </c>
      <c r="S66" s="46">
        <f>SUM(S67:S71)</f>
        <v>208.3333333333333</v>
      </c>
      <c r="T66" s="46">
        <f>SUM(T67:T71)</f>
        <v>208.3333333333333</v>
      </c>
      <c r="U66" s="46">
        <f>SUM(U67:U71)</f>
        <v>208.3333333333333</v>
      </c>
      <c r="V66" s="46">
        <f>SUM(V67:V71)</f>
        <v>208.3333333333333</v>
      </c>
      <c r="W66" s="46">
        <f>SUM(W67:W71)</f>
        <v>208.3333333333333</v>
      </c>
      <c r="X66" s="46">
        <f>SUM(X67:X71)</f>
        <v>208.3333333333333</v>
      </c>
      <c r="Y66" s="46">
        <f>SUM(Y67:Y71)</f>
        <v>208.3333333333333</v>
      </c>
      <c r="Z66" s="46">
        <f>SUMIF($B$13:$Y$13,"Yes",B66:Y66)</f>
        <v>4999.999999999995</v>
      </c>
      <c r="AA66" s="46">
        <f>SUM(B66:M66)</f>
        <v>2499.999999999999</v>
      </c>
      <c r="AB66" s="46">
        <f>SUM(B66:Y66)</f>
        <v>4999.999999999995</v>
      </c>
    </row>
    <row r="67" spans="1:30" hidden="true" outlineLevel="1">
      <c r="A67" s="181" t="str">
        <f>Calculations!$A$4</f>
        <v>Coffee</v>
      </c>
      <c r="B67" s="36">
        <f>N67</f>
        <v>166.6666666666666</v>
      </c>
      <c r="C67" s="36">
        <f>O67</f>
        <v>166.6666666666666</v>
      </c>
      <c r="D67" s="36">
        <f>P67</f>
        <v>166.6666666666666</v>
      </c>
      <c r="E67" s="36">
        <f>Q67</f>
        <v>166.6666666666666</v>
      </c>
      <c r="F67" s="36">
        <f>R67</f>
        <v>166.6666666666666</v>
      </c>
      <c r="G67" s="36">
        <f>S67</f>
        <v>166.6666666666666</v>
      </c>
      <c r="H67" s="36">
        <f>T67</f>
        <v>166.6666666666666</v>
      </c>
      <c r="I67" s="36">
        <f>U67</f>
        <v>166.6666666666666</v>
      </c>
      <c r="J67" s="36">
        <f>V67</f>
        <v>166.6666666666666</v>
      </c>
      <c r="K67" s="36">
        <f>W67</f>
        <v>166.6666666666666</v>
      </c>
      <c r="L67" s="36">
        <f>X67</f>
        <v>166.6666666666666</v>
      </c>
      <c r="M67" s="36">
        <f>Y67</f>
        <v>166.6666666666666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166.6666666666666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166.6666666666666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166.6666666666666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166.6666666666666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166.6666666666666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166.6666666666666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166.6666666666666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166.6666666666666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166.6666666666666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166.6666666666666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166.6666666666666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166.6666666666666</v>
      </c>
      <c r="Z67" s="46">
        <f>SUMIF($B$13:$Y$13,"Yes",B67:Y67)</f>
        <v>3999.999999999997</v>
      </c>
      <c r="AA67" s="46">
        <f>SUM(B67:M67)</f>
        <v>1999.999999999999</v>
      </c>
      <c r="AB67" s="46">
        <f>SUM(B67:Y67)</f>
        <v>3999.999999999997</v>
      </c>
    </row>
    <row r="68" spans="1:30" hidden="true" outlineLevel="1">
      <c r="A68" s="181" t="str">
        <f>Calculations!$A$5</f>
        <v>Bananas</v>
      </c>
      <c r="B68" s="36">
        <f>N68</f>
        <v>41.66666666666665</v>
      </c>
      <c r="C68" s="36">
        <f>O68</f>
        <v>41.66666666666665</v>
      </c>
      <c r="D68" s="36">
        <f>P68</f>
        <v>41.66666666666665</v>
      </c>
      <c r="E68" s="36">
        <f>Q68</f>
        <v>41.66666666666665</v>
      </c>
      <c r="F68" s="36">
        <f>R68</f>
        <v>41.66666666666665</v>
      </c>
      <c r="G68" s="36">
        <f>S68</f>
        <v>41.66666666666665</v>
      </c>
      <c r="H68" s="36">
        <f>T68</f>
        <v>41.66666666666665</v>
      </c>
      <c r="I68" s="36">
        <f>U68</f>
        <v>41.66666666666665</v>
      </c>
      <c r="J68" s="36">
        <f>V68</f>
        <v>41.66666666666665</v>
      </c>
      <c r="K68" s="36">
        <f>W68</f>
        <v>41.66666666666665</v>
      </c>
      <c r="L68" s="36">
        <f>X68</f>
        <v>41.66666666666665</v>
      </c>
      <c r="M68" s="36">
        <f>Y68</f>
        <v>41.66666666666665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41.66666666666665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41.66666666666665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41.66666666666665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41.66666666666665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41.66666666666665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41.66666666666665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41.66666666666665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41.66666666666665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41.66666666666665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41.66666666666665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41.66666666666665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41.66666666666665</v>
      </c>
      <c r="Z68" s="46">
        <f>SUMIF($B$13:$Y$13,"Yes",B68:Y68)</f>
        <v>999.9999999999993</v>
      </c>
      <c r="AA68" s="46">
        <f>SUM(B68:M68)</f>
        <v>499.9999999999997</v>
      </c>
      <c r="AB68" s="46">
        <f>SUM(B68:Y68)</f>
        <v>999.9999999999993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146000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418.8888888888889</v>
      </c>
      <c r="C75" s="46">
        <f>SUM(Calculations!$R$14:$R$16)/12</f>
        <v>418.8888888888889</v>
      </c>
      <c r="D75" s="46">
        <f>SUM(Calculations!$R$14:$R$16)/12</f>
        <v>418.8888888888889</v>
      </c>
      <c r="E75" s="46">
        <f>SUM(Calculations!$R$14:$R$16)/12</f>
        <v>418.8888888888889</v>
      </c>
      <c r="F75" s="46">
        <f>SUM(Calculations!$R$14:$R$16)/12</f>
        <v>418.8888888888889</v>
      </c>
      <c r="G75" s="46">
        <f>SUM(Calculations!$R$14:$R$16)/12</f>
        <v>418.8888888888889</v>
      </c>
      <c r="H75" s="46">
        <f>SUM(Calculations!$R$14:$R$16)/12</f>
        <v>418.8888888888889</v>
      </c>
      <c r="I75" s="46">
        <f>SUM(Calculations!$R$14:$R$16)/12</f>
        <v>418.8888888888889</v>
      </c>
      <c r="J75" s="46">
        <f>SUM(Calculations!$R$14:$R$16)/12</f>
        <v>418.8888888888889</v>
      </c>
      <c r="K75" s="46">
        <f>SUM(Calculations!$R$14:$R$16)/12</f>
        <v>418.8888888888889</v>
      </c>
      <c r="L75" s="46">
        <f>SUM(Calculations!$R$14:$R$16)/12</f>
        <v>418.8888888888889</v>
      </c>
      <c r="M75" s="46">
        <f>SUM(Calculations!$R$14:$R$16)/12</f>
        <v>418.8888888888889</v>
      </c>
      <c r="N75" s="46">
        <f>SUM(Calculations!$R$14:$R$16)/12</f>
        <v>418.8888888888889</v>
      </c>
      <c r="O75" s="46">
        <f>SUM(Calculations!$R$14:$R$16)/12</f>
        <v>418.8888888888889</v>
      </c>
      <c r="P75" s="46">
        <f>SUM(Calculations!$R$14:$R$16)/12</f>
        <v>418.8888888888889</v>
      </c>
      <c r="Q75" s="46">
        <f>SUM(Calculations!$R$14:$R$16)/12</f>
        <v>418.8888888888889</v>
      </c>
      <c r="R75" s="46">
        <f>SUM(Calculations!$R$14:$R$16)/12</f>
        <v>418.8888888888889</v>
      </c>
      <c r="S75" s="46">
        <f>SUM(Calculations!$R$14:$R$16)/12</f>
        <v>418.8888888888889</v>
      </c>
      <c r="T75" s="46">
        <f>SUM(Calculations!$R$14:$R$16)/12</f>
        <v>418.8888888888889</v>
      </c>
      <c r="U75" s="46">
        <f>SUM(Calculations!$R$14:$R$16)/12</f>
        <v>418.8888888888889</v>
      </c>
      <c r="V75" s="46">
        <f>SUM(Calculations!$R$14:$R$16)/12</f>
        <v>418.8888888888889</v>
      </c>
      <c r="W75" s="46">
        <f>SUM(Calculations!$R$14:$R$16)/12</f>
        <v>418.8888888888889</v>
      </c>
      <c r="X75" s="46">
        <f>SUM(Calculations!$R$14:$R$16)/12</f>
        <v>418.8888888888889</v>
      </c>
      <c r="Y75" s="46">
        <f>SUM(Calculations!$R$14:$R$16)/12</f>
        <v>418.8888888888889</v>
      </c>
      <c r="Z75" s="46">
        <f>SUMIF($B$13:$Y$13,"Yes",B75:Y75)</f>
        <v>10053.33333333333</v>
      </c>
      <c r="AA75" s="46">
        <f>SUM(B75:M75)</f>
        <v>5026.666666666665</v>
      </c>
      <c r="AB75" s="46">
        <f>SUM(B75:Y75)</f>
        <v>10053.33333333333</v>
      </c>
    </row>
    <row r="76" spans="1:30">
      <c r="A76" s="16" t="s">
        <v>48</v>
      </c>
      <c r="B76" s="46">
        <f>SUM(Calculations!$S$14:$S$16)/12</f>
        <v>1985.870927318296</v>
      </c>
      <c r="C76" s="46">
        <f>SUM(Calculations!$S$14:$S$16)/12</f>
        <v>1985.870927318296</v>
      </c>
      <c r="D76" s="46">
        <f>SUM(Calculations!$S$14:$S$16)/12</f>
        <v>1985.870927318296</v>
      </c>
      <c r="E76" s="46">
        <f>SUM(Calculations!$S$14:$S$16)/12</f>
        <v>1985.870927318296</v>
      </c>
      <c r="F76" s="46">
        <f>SUM(Calculations!$S$14:$S$16)/12</f>
        <v>1985.870927318296</v>
      </c>
      <c r="G76" s="46">
        <f>SUM(Calculations!$S$14:$S$16)/12</f>
        <v>1985.870927318296</v>
      </c>
      <c r="H76" s="46">
        <f>SUM(Calculations!$S$14:$S$16)/12</f>
        <v>1985.870927318296</v>
      </c>
      <c r="I76" s="46">
        <f>SUM(Calculations!$S$14:$S$16)/12</f>
        <v>1985.870927318296</v>
      </c>
      <c r="J76" s="46">
        <f>SUM(Calculations!$S$14:$S$16)/12</f>
        <v>1985.870927318296</v>
      </c>
      <c r="K76" s="46">
        <f>SUM(Calculations!$S$14:$S$16)/12</f>
        <v>1985.870927318296</v>
      </c>
      <c r="L76" s="46">
        <f>SUM(Calculations!$S$14:$S$16)/12</f>
        <v>1985.870927318296</v>
      </c>
      <c r="M76" s="46">
        <f>SUM(Calculations!$S$14:$S$16)/12</f>
        <v>1985.870927318296</v>
      </c>
      <c r="N76" s="46">
        <f>SUM(Calculations!$S$14:$S$16)/12</f>
        <v>1985.870927318296</v>
      </c>
      <c r="O76" s="46">
        <f>SUM(Calculations!$S$14:$S$16)/12</f>
        <v>1985.870927318296</v>
      </c>
      <c r="P76" s="46">
        <f>SUM(Calculations!$S$14:$S$16)/12</f>
        <v>1985.870927318296</v>
      </c>
      <c r="Q76" s="46">
        <f>SUM(Calculations!$S$14:$S$16)/12</f>
        <v>1985.870927318296</v>
      </c>
      <c r="R76" s="46">
        <f>SUM(Calculations!$S$14:$S$16)/12</f>
        <v>1985.870927318296</v>
      </c>
      <c r="S76" s="46">
        <f>SUM(Calculations!$S$14:$S$16)/12</f>
        <v>1985.870927318296</v>
      </c>
      <c r="T76" s="46">
        <f>SUM(Calculations!$S$14:$S$16)/12</f>
        <v>1985.870927318296</v>
      </c>
      <c r="U76" s="46">
        <f>SUM(Calculations!$S$14:$S$16)/12</f>
        <v>1985.870927318296</v>
      </c>
      <c r="V76" s="46">
        <f>SUM(Calculations!$S$14:$S$16)/12</f>
        <v>1985.870927318296</v>
      </c>
      <c r="W76" s="46">
        <f>SUM(Calculations!$S$14:$S$16)/12</f>
        <v>1985.870927318296</v>
      </c>
      <c r="X76" s="46">
        <f>SUM(Calculations!$S$14:$S$16)/12</f>
        <v>1985.870927318296</v>
      </c>
      <c r="Y76" s="46">
        <f>SUM(Calculations!$S$14:$S$16)/12</f>
        <v>1985.870927318296</v>
      </c>
      <c r="Z76" s="46">
        <f>SUMIF($B$13:$Y$13,"Yes",B76:Y76)</f>
        <v>47660.90225563913</v>
      </c>
      <c r="AA76" s="46">
        <f>SUM(B76:M76)</f>
        <v>23830.45112781956</v>
      </c>
      <c r="AB76" s="46">
        <f>SUM(B76:Y76)</f>
        <v>47660.90225563913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43985.32447971674</v>
      </c>
      <c r="C81" s="46">
        <f>(SUM($AA$18:$AA$29)-SUM($AA$36,$AA$42,$AA$48,$AA$54,$AA$60,$AA$66,$AA$72:$AA$79))*Parameters!$B$37/12</f>
        <v>43985.32447971674</v>
      </c>
      <c r="D81" s="46">
        <f>(SUM($AA$18:$AA$29)-SUM($AA$36,$AA$42,$AA$48,$AA$54,$AA$60,$AA$66,$AA$72:$AA$79))*Parameters!$B$37/12</f>
        <v>43985.32447971674</v>
      </c>
      <c r="E81" s="46">
        <f>(SUM($AA$18:$AA$29)-SUM($AA$36,$AA$42,$AA$48,$AA$54,$AA$60,$AA$66,$AA$72:$AA$79))*Parameters!$B$37/12</f>
        <v>43985.32447971674</v>
      </c>
      <c r="F81" s="46">
        <f>(SUM($AA$18:$AA$29)-SUM($AA$36,$AA$42,$AA$48,$AA$54,$AA$60,$AA$66,$AA$72:$AA$79))*Parameters!$B$37/12</f>
        <v>43985.32447971674</v>
      </c>
      <c r="G81" s="46">
        <f>(SUM($AA$18:$AA$29)-SUM($AA$36,$AA$42,$AA$48,$AA$54,$AA$60,$AA$66,$AA$72:$AA$79))*Parameters!$B$37/12</f>
        <v>43985.32447971674</v>
      </c>
      <c r="H81" s="46">
        <f>(SUM($AA$18:$AA$29)-SUM($AA$36,$AA$42,$AA$48,$AA$54,$AA$60,$AA$66,$AA$72:$AA$79))*Parameters!$B$37/12</f>
        <v>43985.32447971674</v>
      </c>
      <c r="I81" s="46">
        <f>(SUM($AA$18:$AA$29)-SUM($AA$36,$AA$42,$AA$48,$AA$54,$AA$60,$AA$66,$AA$72:$AA$79))*Parameters!$B$37/12</f>
        <v>43985.32447971674</v>
      </c>
      <c r="J81" s="46">
        <f>(SUM($AA$18:$AA$29)-SUM($AA$36,$AA$42,$AA$48,$AA$54,$AA$60,$AA$66,$AA$72:$AA$79))*Parameters!$B$37/12</f>
        <v>43985.32447971674</v>
      </c>
      <c r="K81" s="46">
        <f>(SUM($AA$18:$AA$29)-SUM($AA$36,$AA$42,$AA$48,$AA$54,$AA$60,$AA$66,$AA$72:$AA$79))*Parameters!$B$37/12</f>
        <v>43985.32447971674</v>
      </c>
      <c r="L81" s="46">
        <f>(SUM($AA$18:$AA$29)-SUM($AA$36,$AA$42,$AA$48,$AA$54,$AA$60,$AA$66,$AA$72:$AA$79))*Parameters!$B$37/12</f>
        <v>43985.32447971674</v>
      </c>
      <c r="M81" s="46">
        <f>(SUM($AA$18:$AA$29)-SUM($AA$36,$AA$42,$AA$48,$AA$54,$AA$60,$AA$66,$AA$72:$AA$79))*Parameters!$B$37/12</f>
        <v>43985.32447971674</v>
      </c>
      <c r="N81" s="46">
        <f>(SUM($AA$18:$AA$29)-SUM($AA$36,$AA$42,$AA$48,$AA$54,$AA$60,$AA$66,$AA$72:$AA$79))*Parameters!$B$37/12</f>
        <v>43985.32447971674</v>
      </c>
      <c r="O81" s="46">
        <f>(SUM($AA$18:$AA$29)-SUM($AA$36,$AA$42,$AA$48,$AA$54,$AA$60,$AA$66,$AA$72:$AA$79))*Parameters!$B$37/12</f>
        <v>43985.32447971674</v>
      </c>
      <c r="P81" s="46">
        <f>(SUM($AA$18:$AA$29)-SUM($AA$36,$AA$42,$AA$48,$AA$54,$AA$60,$AA$66,$AA$72:$AA$79))*Parameters!$B$37/12</f>
        <v>43985.32447971674</v>
      </c>
      <c r="Q81" s="46">
        <f>(SUM($AA$18:$AA$29)-SUM($AA$36,$AA$42,$AA$48,$AA$54,$AA$60,$AA$66,$AA$72:$AA$79))*Parameters!$B$37/12</f>
        <v>43985.32447971674</v>
      </c>
      <c r="R81" s="46">
        <f>(SUM($AA$18:$AA$29)-SUM($AA$36,$AA$42,$AA$48,$AA$54,$AA$60,$AA$66,$AA$72:$AA$79))*Parameters!$B$37/12</f>
        <v>43985.32447971674</v>
      </c>
      <c r="S81" s="46">
        <f>(SUM($AA$18:$AA$29)-SUM($AA$36,$AA$42,$AA$48,$AA$54,$AA$60,$AA$66,$AA$72:$AA$79))*Parameters!$B$37/12</f>
        <v>43985.32447971674</v>
      </c>
      <c r="T81" s="46">
        <f>(SUM($AA$18:$AA$29)-SUM($AA$36,$AA$42,$AA$48,$AA$54,$AA$60,$AA$66,$AA$72:$AA$79))*Parameters!$B$37/12</f>
        <v>43985.32447971674</v>
      </c>
      <c r="U81" s="46">
        <f>(SUM($AA$18:$AA$29)-SUM($AA$36,$AA$42,$AA$48,$AA$54,$AA$60,$AA$66,$AA$72:$AA$79))*Parameters!$B$37/12</f>
        <v>43985.32447971674</v>
      </c>
      <c r="V81" s="46">
        <f>(SUM($AA$18:$AA$29)-SUM($AA$36,$AA$42,$AA$48,$AA$54,$AA$60,$AA$66,$AA$72:$AA$79))*Parameters!$B$37/12</f>
        <v>43985.32447971674</v>
      </c>
      <c r="W81" s="46">
        <f>(SUM($AA$18:$AA$29)-SUM($AA$36,$AA$42,$AA$48,$AA$54,$AA$60,$AA$66,$AA$72:$AA$79))*Parameters!$B$37/12</f>
        <v>43985.32447971674</v>
      </c>
      <c r="X81" s="46">
        <f>(SUM($AA$18:$AA$29)-SUM($AA$36,$AA$42,$AA$48,$AA$54,$AA$60,$AA$66,$AA$72:$AA$79))*Parameters!$B$37/12</f>
        <v>43985.32447971674</v>
      </c>
      <c r="Y81" s="46">
        <f>(SUM($AA$18:$AA$29)-SUM($AA$36,$AA$42,$AA$48,$AA$54,$AA$60,$AA$66,$AA$72:$AA$79))*Parameters!$B$37/12</f>
        <v>43985.32447971674</v>
      </c>
      <c r="Z81" s="46">
        <f>SUMIF($B$13:$Y$13,"Yes",B81:Y81)</f>
        <v>1055647.787513201</v>
      </c>
      <c r="AA81" s="46">
        <f>SUM(B81:M81)</f>
        <v>527823.8937566007</v>
      </c>
      <c r="AB81" s="46">
        <f>SUM(B81:Y81)</f>
        <v>1055647.787513201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73181.75096259058</v>
      </c>
      <c r="C88" s="19">
        <f>SUM(C72:C82,C66,C60,C54,C48,C42,C36)</f>
        <v>73181.75096259058</v>
      </c>
      <c r="D88" s="19">
        <f>SUM(D72:D82,D66,D60,D54,D48,D42,D36)</f>
        <v>73181.75096259058</v>
      </c>
      <c r="E88" s="19">
        <f>SUM(E72:E82,E66,E60,E54,E48,E42,E36)</f>
        <v>73181.75096259058</v>
      </c>
      <c r="F88" s="19">
        <f>SUM(F72:F82,F66,F60,F54,F48,F42,F36)</f>
        <v>73181.75096259058</v>
      </c>
      <c r="G88" s="19">
        <f>SUM(G72:G82,G66,G60,G54,G48,G42,G36)</f>
        <v>73181.75096259058</v>
      </c>
      <c r="H88" s="19">
        <f>SUM(H72:H82,H66,H60,H54,H48,H42,H36)</f>
        <v>73181.75096259058</v>
      </c>
      <c r="I88" s="19">
        <f>SUM(I72:I82,I66,I60,I54,I48,I42,I36)</f>
        <v>75181.75096259058</v>
      </c>
      <c r="J88" s="19">
        <f>SUM(J72:J82,J66,J60,J54,J48,J42,J36)</f>
        <v>73181.75096259058</v>
      </c>
      <c r="K88" s="19">
        <f>SUM(K72:K82,K66,K60,K54,K48,K42,K36)</f>
        <v>73181.75096259058</v>
      </c>
      <c r="L88" s="19">
        <f>SUM(L72:L82,L66,L60,L54,L48,L42,L36)</f>
        <v>73181.75096259058</v>
      </c>
      <c r="M88" s="19">
        <f>SUM(M72:M82,M66,M60,M54,M48,M42,M36)</f>
        <v>73181.75096259058</v>
      </c>
      <c r="N88" s="19">
        <f>SUM(N72:N82,N66,N60,N54,N48,N42,N36)</f>
        <v>73181.75096259058</v>
      </c>
      <c r="O88" s="19">
        <f>SUM(O72:O82,O66,O60,O54,O48,O42,O36)</f>
        <v>73181.75096259058</v>
      </c>
      <c r="P88" s="19">
        <f>SUM(P72:P82,P66,P60,P54,P48,P42,P36)</f>
        <v>73181.75096259058</v>
      </c>
      <c r="Q88" s="19">
        <f>SUM(Q72:Q82,Q66,Q60,Q54,Q48,Q42,Q36)</f>
        <v>73181.75096259058</v>
      </c>
      <c r="R88" s="19">
        <f>SUM(R72:R82,R66,R60,R54,R48,R42,R36)</f>
        <v>73181.75096259058</v>
      </c>
      <c r="S88" s="19">
        <f>SUM(S72:S82,S66,S60,S54,S48,S42,S36)</f>
        <v>73181.75096259058</v>
      </c>
      <c r="T88" s="19">
        <f>SUM(T72:T82,T66,T60,T54,T48,T42,T36)</f>
        <v>73181.75096259058</v>
      </c>
      <c r="U88" s="19">
        <f>SUM(U72:U82,U66,U60,U54,U48,U42,U36)</f>
        <v>75181.75096259058</v>
      </c>
      <c r="V88" s="19">
        <f>SUM(V72:V82,V66,V60,V54,V48,V42,V36)</f>
        <v>73181.75096259058</v>
      </c>
      <c r="W88" s="19">
        <f>SUM(W72:W82,W66,W60,W54,W48,W42,W36)</f>
        <v>73181.75096259058</v>
      </c>
      <c r="X88" s="19">
        <f>SUM(X72:X82,X66,X60,X54,X48,X42,X36)</f>
        <v>73181.75096259058</v>
      </c>
      <c r="Y88" s="19">
        <f>SUM(Y72:Y82,Y66,Y60,Y54,Y48,Y42,Y36)</f>
        <v>73181.75096259058</v>
      </c>
      <c r="Z88" s="19">
        <f>SUMIF($B$13:$Y$13,"Yes",B88:Y88)</f>
        <v>1760362.023102174</v>
      </c>
      <c r="AA88" s="19">
        <f>SUM(B88:M88)</f>
        <v>880181.0115510869</v>
      </c>
      <c r="AB88" s="19">
        <f>SUM(B88:Y88)</f>
        <v>1760362.023102174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280000</v>
      </c>
    </row>
    <row r="96" spans="1:30">
      <c r="A96" t="s">
        <v>62</v>
      </c>
      <c r="B96" s="36">
        <f>SUMPRODUCT(Inputs!C19:C21,Calculations!O14:O16)</f>
        <v>718500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180000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1498500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111</v>
      </c>
      <c r="J19" s="145">
        <v>5</v>
      </c>
      <c r="K19" s="145"/>
      <c r="L19" s="25"/>
    </row>
    <row r="20" spans="1:48">
      <c r="A20" s="143" t="s">
        <v>112</v>
      </c>
      <c r="B20" s="16"/>
      <c r="C20" s="143">
        <v>50</v>
      </c>
      <c r="D20" s="147">
        <v>50</v>
      </c>
      <c r="E20" s="16"/>
      <c r="F20" s="147" t="s">
        <v>92</v>
      </c>
      <c r="G20" s="16"/>
      <c r="H20" s="16"/>
      <c r="I20" s="147" t="s">
        <v>111</v>
      </c>
      <c r="J20" s="147">
        <v>5</v>
      </c>
      <c r="K20" s="147">
        <v>5</v>
      </c>
      <c r="L20" s="30">
        <v>1</v>
      </c>
    </row>
    <row r="21" spans="1:48">
      <c r="A21" s="144" t="s">
        <v>113</v>
      </c>
      <c r="B21" s="23"/>
      <c r="C21" s="144">
        <v>8</v>
      </c>
      <c r="D21" s="150">
        <v>8</v>
      </c>
      <c r="E21" s="23"/>
      <c r="F21" s="150" t="s">
        <v>92</v>
      </c>
      <c r="G21" s="23"/>
      <c r="H21" s="23"/>
      <c r="I21" s="150" t="s">
        <v>114</v>
      </c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80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65000</v>
      </c>
    </row>
    <row r="31" spans="1:48">
      <c r="A31" s="5" t="s">
        <v>121</v>
      </c>
      <c r="B31" s="158">
        <v>20000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250000</v>
      </c>
    </row>
    <row r="46" spans="1:48" customHeight="1" ht="30">
      <c r="A46" s="57" t="s">
        <v>135</v>
      </c>
      <c r="B46" s="161">
        <v>180000</v>
      </c>
    </row>
    <row r="47" spans="1:48" customHeight="1" ht="30">
      <c r="A47" s="57" t="s">
        <v>136</v>
      </c>
      <c r="B47" s="161">
        <v>280000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70000</v>
      </c>
    </row>
    <row r="50" spans="1:48">
      <c r="A50" s="43"/>
      <c r="B50" s="36"/>
    </row>
    <row r="51" spans="1:48">
      <c r="A51" s="58" t="s">
        <v>139</v>
      </c>
      <c r="B51" s="161">
        <v>12000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212863</v>
      </c>
      <c r="C66" s="163">
        <v>148968</v>
      </c>
      <c r="D66" s="49">
        <f>INDEX(Parameters!$D$79:$D$90,MATCH(Inputs!A66,Parameters!$C$79:$C$90,0))</f>
        <v>6</v>
      </c>
    </row>
    <row r="67" spans="1:48">
      <c r="A67" s="143" t="s">
        <v>151</v>
      </c>
      <c r="B67" s="157">
        <v>392086</v>
      </c>
      <c r="C67" s="165">
        <v>307852</v>
      </c>
      <c r="D67" s="49">
        <f>INDEX(Parameters!$D$79:$D$90,MATCH(Inputs!A67,Parameters!$C$79:$C$90,0))</f>
        <v>5</v>
      </c>
    </row>
    <row r="68" spans="1:48">
      <c r="A68" s="143" t="s">
        <v>152</v>
      </c>
      <c r="B68" s="157">
        <v>212564</v>
      </c>
      <c r="C68" s="165">
        <v>177093</v>
      </c>
      <c r="D68" s="49">
        <f>INDEX(Parameters!$D$79:$D$90,MATCH(Inputs!A68,Parameters!$C$79:$C$90,0))</f>
        <v>4</v>
      </c>
    </row>
    <row r="69" spans="1:48">
      <c r="A69" s="143" t="s">
        <v>153</v>
      </c>
      <c r="B69" s="157">
        <v>232096</v>
      </c>
      <c r="C69" s="165">
        <v>163042</v>
      </c>
      <c r="D69" s="49">
        <f>INDEX(Parameters!$D$79:$D$90,MATCH(Inputs!A69,Parameters!$C$79:$C$90,0))</f>
        <v>3</v>
      </c>
    </row>
    <row r="70" spans="1:48">
      <c r="A70" s="143" t="s">
        <v>154</v>
      </c>
      <c r="B70" s="157">
        <v>334087</v>
      </c>
      <c r="C70" s="165">
        <v>268077</v>
      </c>
      <c r="D70" s="49">
        <f>INDEX(Parameters!$D$79:$D$90,MATCH(Inputs!A70,Parameters!$C$79:$C$90,0))</f>
        <v>2</v>
      </c>
    </row>
    <row r="71" spans="1:48">
      <c r="A71" s="144" t="s">
        <v>96</v>
      </c>
      <c r="B71" s="158">
        <v>154432</v>
      </c>
      <c r="C71" s="167">
        <v>198012</v>
      </c>
      <c r="D71" s="49">
        <f>INDEX(Parameters!$D$79:$D$90,MATCH(Inputs!A71,Parameters!$C$79:$C$90,0))</f>
        <v>1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24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Coffee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462.4865153429052</v>
      </c>
      <c r="M4" s="25">
        <f>L4*H4</f>
        <v>924.9730306858104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44.8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39366.85218598809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10500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9999.999999999998</v>
      </c>
      <c r="AC4" s="60">
        <f>IF($A4=0,1/12,IFERROR(INDEX(Parameters!$X$2:$AI$17,MATCH(Calculations!$A4,Parameters!$A$2:$A$17,0),MONTH(Calculations!AC$3)),1/12))</f>
        <v>0.1282051282051282</v>
      </c>
      <c r="AD4" s="60">
        <f>IF($A4=0,1/12,IFERROR(INDEX(Parameters!$X$2:$AI$17,MATCH(Calculations!$A4,Parameters!$A$2:$A$17,0),MONTH(Calculations!AD$3)),1/12))</f>
        <v>0.1282051282051282</v>
      </c>
      <c r="AE4" s="60">
        <f>IF($A4=0,1/12,IFERROR(INDEX(Parameters!$X$2:$AI$17,MATCH(Calculations!$A4,Parameters!$A$2:$A$17,0),MONTH(Calculations!AE$3)),1/12))</f>
        <v>0.05128205128205128</v>
      </c>
      <c r="AF4" s="60">
        <f>IF($A4=0,1/12,IFERROR(INDEX(Parameters!$X$2:$AI$17,MATCH(Calculations!$A4,Parameters!$A$2:$A$17,0),MONTH(Calculations!AF$3)),1/12))</f>
        <v>0</v>
      </c>
      <c r="AG4" s="60">
        <f>IF($A4=0,1/12,IFERROR(INDEX(Parameters!$X$2:$AI$17,MATCH(Calculations!$A4,Parameters!$A$2:$A$17,0),MONTH(Calculations!AG$3)),1/12))</f>
        <v>0.05128205128205128</v>
      </c>
      <c r="AH4" s="60">
        <f>IF($A4=0,1/12,IFERROR(INDEX(Parameters!$X$2:$AI$17,MATCH(Calculations!$A4,Parameters!$A$2:$A$17,0),MONTH(Calculations!AH$3)),1/12))</f>
        <v>0.1025641025641026</v>
      </c>
      <c r="AI4" s="60">
        <f>IF($A4=0,1/12,IFERROR(INDEX(Parameters!$X$2:$AI$17,MATCH(Calculations!$A4,Parameters!$A$2:$A$17,0),MONTH(Calculations!AI$3)),1/12))</f>
        <v>0.1282051282051282</v>
      </c>
      <c r="AJ4" s="60">
        <f>IF($A4=0,1/12,IFERROR(INDEX(Parameters!$X$2:$AI$17,MATCH(Calculations!$A4,Parameters!$A$2:$A$17,0),MONTH(Calculations!AJ$3)),1/12))</f>
        <v>0.1282051282051282</v>
      </c>
      <c r="AK4" s="60">
        <f>IF($A4=0,1/12,IFERROR(INDEX(Parameters!$X$2:$AI$17,MATCH(Calculations!$A4,Parameters!$A$2:$A$17,0),MONTH(Calculations!AK$3)),1/12))</f>
        <v>0.1282051282051282</v>
      </c>
      <c r="AL4" s="60">
        <f>IF($A4=0,1/12,IFERROR(INDEX(Parameters!$X$2:$AI$17,MATCH(Calculations!$A4,Parameters!$A$2:$A$17,0),MONTH(Calculations!AL$3)),1/12))</f>
        <v>0.1025641025641026</v>
      </c>
      <c r="AM4" s="60">
        <f>IF($A4=0,1/12,IFERROR(INDEX(Parameters!$X$2:$AI$17,MATCH(Calculations!$A4,Parameters!$A$2:$A$17,0),MONTH(Calculations!AM$3)),1/12))</f>
        <v>0.05128205128205128</v>
      </c>
      <c r="AN4" s="60">
        <f>IF($A4=0,1/12,IFERROR(INDEX(Parameters!$X$2:$AI$17,MATCH(Calculations!$A4,Parameters!$A$2:$A$17,0),MONTH(Calculations!AN$3)),1/12))</f>
        <v>0</v>
      </c>
      <c r="AO4" s="60">
        <f>IF($A4=0,1/12,IFERROR(INDEX(Parameters!$X$2:$AI$17,MATCH(Calculations!$A4,Parameters!$A$2:$A$17,0),MONTH(Calculations!AO$3)),1/12))</f>
        <v>0.1282051282051282</v>
      </c>
      <c r="AP4" s="60">
        <f>IF($A4=0,1/12,IFERROR(INDEX(Parameters!$X$2:$AI$17,MATCH(Calculations!$A4,Parameters!$A$2:$A$17,0),MONTH(Calculations!AP$3)),1/12))</f>
        <v>0.1282051282051282</v>
      </c>
      <c r="AQ4" s="60">
        <f>IF($A4=0,1/12,IFERROR(INDEX(Parameters!$X$2:$AI$17,MATCH(Calculations!$A4,Parameters!$A$2:$A$17,0),MONTH(Calculations!AQ$3)),1/12))</f>
        <v>0.05128205128205128</v>
      </c>
      <c r="AR4" s="60">
        <f>IF($A4=0,1/12,IFERROR(INDEX(Parameters!$X$2:$AI$17,MATCH(Calculations!$A4,Parameters!$A$2:$A$17,0),MONTH(Calculations!AR$3)),1/12))</f>
        <v>0</v>
      </c>
      <c r="AS4" s="60">
        <f>IF($A4=0,1/12,IFERROR(INDEX(Parameters!$X$2:$AI$17,MATCH(Calculations!$A4,Parameters!$A$2:$A$17,0),MONTH(Calculations!AS$3)),1/12))</f>
        <v>0.05128205128205128</v>
      </c>
      <c r="AT4" s="60">
        <f>IF($A4=0,1/12,IFERROR(INDEX(Parameters!$X$2:$AI$17,MATCH(Calculations!$A4,Parameters!$A$2:$A$17,0),MONTH(Calculations!AT$3)),1/12))</f>
        <v>0.1025641025641026</v>
      </c>
      <c r="AU4" s="60">
        <f>IF($A4=0,1/12,IFERROR(INDEX(Parameters!$X$2:$AI$17,MATCH(Calculations!$A4,Parameters!$A$2:$A$17,0),MONTH(Calculations!AU$3)),1/12))</f>
        <v>0.1282051282051282</v>
      </c>
      <c r="AV4" s="60">
        <f>IF($A4=0,1/12,IFERROR(INDEX(Parameters!$X$2:$AI$17,MATCH(Calculations!$A4,Parameters!$A$2:$A$17,0),MONTH(Calculations!AV$3)),1/12))</f>
        <v>0.1282051282051282</v>
      </c>
      <c r="AW4" s="60">
        <f>IF($A4=0,1/12,IFERROR(INDEX(Parameters!$X$2:$AI$17,MATCH(Calculations!$A4,Parameters!$A$2:$A$17,0),MONTH(Calculations!AW$3)),1/12))</f>
        <v>0.1282051282051282</v>
      </c>
      <c r="AX4" s="60">
        <f>IF($A4=0,1/12,IFERROR(INDEX(Parameters!$X$2:$AI$17,MATCH(Calculations!$A4,Parameters!$A$2:$A$17,0),MONTH(Calculations!AX$3)),1/12))</f>
        <v>0.1025641025641026</v>
      </c>
      <c r="AY4" s="60">
        <f>IF($A4=0,1/12,IFERROR(INDEX(Parameters!$X$2:$AI$17,MATCH(Calculations!$A4,Parameters!$A$2:$A$17,0),MONTH(Calculations!AY$3)),1/12))</f>
        <v>0.05128205128205128</v>
      </c>
      <c r="AZ4" s="60">
        <f>IF($A4=0,1/12,IFERROR(INDEX(Parameters!$X$2:$AI$17,MATCH(Calculations!$A4,Parameters!$A$2:$A$17,0),MONTH(Calculations!AZ$3)),1/12))</f>
        <v>0</v>
      </c>
    </row>
    <row r="5" spans="1:52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43101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11500</v>
      </c>
      <c r="M5" s="30">
        <f>L5*H5</f>
        <v>11500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229425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2500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50</v>
      </c>
      <c r="E15" s="16">
        <f>Inputs!D20</f>
        <v>50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73000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426.6666666666667</v>
      </c>
      <c r="S15" s="64">
        <f>IFERROR(D15*INDEX(Parameters!$A$22:$P$29,MATCH(Calculations!$A15,Parameters!$A$22:$A$29,0),MATCH(Parameters!$N$22,Parameters!$A$22:$P$22,0)),"")</f>
        <v>3430.451127819548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8</v>
      </c>
      <c r="E16" s="16">
        <f>Inputs!D21</f>
        <v>8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</v>
      </c>
      <c r="H16" s="122">
        <f>IFERROR(IF(B16="meat",INDEX(Parameters!$A$22:$P$29,MATCH(Calculations!A16,Parameters!$A$22:$A$29,0),MATCH(Parameters!$I$22,Parameters!$A$22:$P$22,0))*G16,""),"")</f>
        <v>30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1600</v>
      </c>
      <c r="S16" s="64">
        <f>IFERROR(D16*INDEX(Parameters!$A$22:$P$29,MATCH(Calculations!$A16,Parameters!$A$22:$A$29,0),MATCH(Parameters!$N$22,Parameters!$A$22:$P$22,0)),"")</f>
        <v>2400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8750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42957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42948</v>
      </c>
      <c r="F33" t="s">
        <v>160</v>
      </c>
      <c r="G33" s="128">
        <f>IF(Inputs!B79="","",DATE(YEAR(Inputs!B79),MONTH(Inputs!B79),DAY(Inputs!B79)))</f>
        <v>42916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42988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42979</v>
      </c>
      <c r="F34" t="s">
        <v>161</v>
      </c>
      <c r="G34" s="128">
        <f>IF(Inputs!B80="","",DATE(YEAR(Inputs!B80),MONTH(Inputs!B80),DAY(Inputs!B80)))</f>
        <v>42957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43018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43009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43049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43040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43079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43070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43110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43101</v>
      </c>
      <c r="F38" t="s">
        <v>226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43141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43132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43169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43160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43200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43191</v>
      </c>
      <c r="F41" t="s">
        <v>227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43230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43221</v>
      </c>
      <c r="F42" t="s">
        <v>228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43261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43291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43322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43353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43383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43414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43444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43475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43466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43506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43497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43534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43525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43565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43556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43595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43586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43626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43617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43656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43647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89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112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113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112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113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312</v>
      </c>
      <c r="I52" s="12" t="s">
        <v>132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229</v>
      </c>
      <c r="E53" s="10" t="s">
        <v>188</v>
      </c>
      <c r="F53" s="10" t="s">
        <v>248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166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225</v>
      </c>
      <c r="J76" s="11" t="s">
        <v>345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93</v>
      </c>
      <c r="F77" s="12" t="s">
        <v>93</v>
      </c>
      <c r="G77" s="12" t="s">
        <v>114</v>
      </c>
      <c r="H77" s="12" t="s">
        <v>312</v>
      </c>
      <c r="I77" s="12" t="s">
        <v>347</v>
      </c>
      <c r="J77" s="136" t="s">
        <v>348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132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355</v>
      </c>
      <c r="F79" s="12" t="s">
        <v>356</v>
      </c>
      <c r="G79" s="12" t="s">
        <v>111</v>
      </c>
      <c r="I79" s="12" t="s">
        <v>166</v>
      </c>
      <c r="J79" s="70" t="s">
        <v>357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359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360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