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comments5.xml" ContentType="application/vnd.openxmlformats-officedocument.spreadsheetml.comment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" autoFilterDateGrouping="1" firstSheet="0" minimized="0" showHorizontalScroll="1" showSheetTabs="1" showVerticalScroll="1" tabRatio="600" visibility="visible"/>
  </bookViews>
  <sheets>
    <sheet name="Financial summary" sheetId="1" r:id="rId4"/>
    <sheet name="Output" sheetId="2" r:id="rId5"/>
    <sheet name="Inputs" sheetId="3" r:id="rId6"/>
    <sheet name="Calculations" sheetId="4" r:id="rId7"/>
    <sheet name="Parameters" sheetId="5" r:id="rId8"/>
  </sheets>
  <definedNames/>
  <calcPr calcId="999999" calcMode="auto" calcCompleted="1" fullCalcOnLoad="0"/>
</workbook>
</file>

<file path=xl/comments5.xml><?xml version="1.0" encoding="utf-8"?>
<comments xmlns="http://schemas.openxmlformats.org/spreadsheetml/2006/main">
  <authors>
    <author>Author</author>
  </authors>
  <commentList>
    <comment ref="D53" authorId="0">
      <text>
        <r>
          <rPr>
            <rFont val="Tahoma"/>
            <b val="true"/>
            <i val="false"/>
            <strike val="false"/>
            <color rgb="FF000000"/>
            <sz val="9"/>
            <u val="none"/>
          </rPr>
          <t xml:space="preserve">Grameen Kenya:</t>
        </r>
        <r>
          <rPr>
            <rFont val="Tahoma"/>
            <b val="false"/>
            <i val="false"/>
            <strike val="false"/>
            <color rgb="FF000000"/>
            <sz val="9"/>
            <u val="none"/>
          </rPr>
          <t xml:space="preserve">
0.34 times the max yield</t>
        </r>
      </text>
    </comment>
  </commentList>
</comments>
</file>

<file path=xl/sharedStrings.xml><?xml version="1.0" encoding="utf-8"?>
<sst xmlns="http://schemas.openxmlformats.org/spreadsheetml/2006/main" uniqueCount="373">
  <si>
    <t>Approval recommendation:</t>
  </si>
  <si>
    <t>Clients activities</t>
  </si>
  <si>
    <t>Crops planted:</t>
  </si>
  <si>
    <t>Animals farmed:</t>
  </si>
  <si>
    <t>Other income:</t>
  </si>
  <si>
    <t>Financial ratios</t>
  </si>
  <si>
    <t>Loan size ratio</t>
  </si>
  <si>
    <t>Month by when installment size ratio &lt;60%</t>
  </si>
  <si>
    <t>Indebtness ratio</t>
  </si>
  <si>
    <t>Cash flows (excluding loan CFs)</t>
  </si>
  <si>
    <t>Installment amount after grace periods</t>
  </si>
  <si>
    <t>Total yearly cash flow</t>
  </si>
  <si>
    <t>Minimum monthly cash flow</t>
  </si>
  <si>
    <t>Month of minimum cash-flow</t>
  </si>
  <si>
    <t>Maximum monthly cash flow</t>
  </si>
  <si>
    <t>Month of maximum cash-flow</t>
  </si>
  <si>
    <t>Credit history</t>
  </si>
  <si>
    <t>Average loan borrowed in the past</t>
  </si>
  <si>
    <t>Max loan borrowed in the past</t>
  </si>
  <si>
    <t>Has always repaid in time?</t>
  </si>
  <si>
    <t>Net cash flows</t>
  </si>
  <si>
    <t>Month min cash-flow</t>
  </si>
  <si>
    <t>Month max cash-flow</t>
  </si>
  <si>
    <t>Month by when Installment ratio ok</t>
  </si>
  <si>
    <t>Total during loan period</t>
  </si>
  <si>
    <t>Total 12 months</t>
  </si>
  <si>
    <t>Total 24 months</t>
  </si>
  <si>
    <t>Net cash flows from farms/ business (projected)</t>
  </si>
  <si>
    <t>Past cash-flows from statements (historic)</t>
  </si>
  <si>
    <t>New loan disbursement</t>
  </si>
  <si>
    <t>New loan installment amount</t>
  </si>
  <si>
    <t>Net cash flows including loan</t>
  </si>
  <si>
    <t>Installment size ratio</t>
  </si>
  <si>
    <t>Active loan</t>
  </si>
  <si>
    <t>Inflows</t>
  </si>
  <si>
    <t>Source</t>
  </si>
  <si>
    <t>Other activities</t>
  </si>
  <si>
    <t>Total</t>
  </si>
  <si>
    <t>Outflows</t>
  </si>
  <si>
    <t>Fertilizers</t>
  </si>
  <si>
    <t>Seeds/ cuttings</t>
  </si>
  <si>
    <t>Pesticides</t>
  </si>
  <si>
    <t>Storage costs</t>
  </si>
  <si>
    <t>Irrigation costs</t>
  </si>
  <si>
    <t>Labor crops</t>
  </si>
  <si>
    <t>Land rent</t>
  </si>
  <si>
    <t>Feeds</t>
  </si>
  <si>
    <t>Veterinary</t>
  </si>
  <si>
    <t>Labor animals</t>
  </si>
  <si>
    <t>Other animal costs</t>
  </si>
  <si>
    <t>Investments</t>
  </si>
  <si>
    <t>Household expenses</t>
  </si>
  <si>
    <t>Existing loan repayments</t>
  </si>
  <si>
    <t>Loan 1</t>
  </si>
  <si>
    <t>Loan 2</t>
  </si>
  <si>
    <t>Loan 3</t>
  </si>
  <si>
    <t>Loan 4</t>
  </si>
  <si>
    <t>Loan 5</t>
  </si>
  <si>
    <t>Balance sheet after loan</t>
  </si>
  <si>
    <t>Assets</t>
  </si>
  <si>
    <t>Cash</t>
  </si>
  <si>
    <t>Stock</t>
  </si>
  <si>
    <t>Animals</t>
  </si>
  <si>
    <t>Land</t>
  </si>
  <si>
    <t>House</t>
  </si>
  <si>
    <t>Other assets</t>
  </si>
  <si>
    <t>New assets to be purchased</t>
  </si>
  <si>
    <t>Total assets</t>
  </si>
  <si>
    <t>Liabilities</t>
  </si>
  <si>
    <t>Debts with individuals</t>
  </si>
  <si>
    <t>Debts with institutions</t>
  </si>
  <si>
    <t>Loan to be disbursed</t>
  </si>
  <si>
    <t>Total liabilities</t>
  </si>
  <si>
    <t>Crops</t>
  </si>
  <si>
    <t>Please select the main crops (max 5) that will be planted during the period and provide the details requested. Select "Other crops" if the crop is not in the list</t>
  </si>
  <si>
    <t>Crop</t>
  </si>
  <si>
    <t>Specify crop</t>
  </si>
  <si>
    <t>Acres under production</t>
  </si>
  <si>
    <t>Expected harvest amount/ cycle (e.g. Kg, bags, etc.)</t>
  </si>
  <si>
    <t>Main source of seeds/ cuttings</t>
  </si>
  <si>
    <t>Use of fertilizers</t>
  </si>
  <si>
    <t>Kg inorganic fertilizers applied/ season</t>
  </si>
  <si>
    <t>Use of pesticides</t>
  </si>
  <si>
    <t>Irrigation</t>
  </si>
  <si>
    <t>Next month of planting</t>
  </si>
  <si>
    <t>Month of harvest</t>
  </si>
  <si>
    <t>Sale price/ unit</t>
  </si>
  <si>
    <t>% home consumption + wastage</t>
  </si>
  <si>
    <t>Months storage after harvest</t>
  </si>
  <si>
    <t>Bananas</t>
  </si>
  <si>
    <t>Home recycled</t>
  </si>
  <si>
    <t>Yes only manure</t>
  </si>
  <si>
    <t>No</t>
  </si>
  <si>
    <t>Yes without the use of a pump</t>
  </si>
  <si>
    <t>November</t>
  </si>
  <si>
    <t>Other crops</t>
  </si>
  <si>
    <t>Shop_certified variety</t>
  </si>
  <si>
    <t>Yes both manure and inorganic</t>
  </si>
  <si>
    <t>Yes</t>
  </si>
  <si>
    <t>Yes using a diesel pump</t>
  </si>
  <si>
    <t>August</t>
  </si>
  <si>
    <t>Maize</t>
  </si>
  <si>
    <t>Shop_common variety</t>
  </si>
  <si>
    <t>Please select the main animals (max 3) that you will rear in the period and provide the details requested. Select "Other animals" if the animal is not in the list</t>
  </si>
  <si>
    <t>Animal</t>
  </si>
  <si>
    <t>Specify animal</t>
  </si>
  <si>
    <t>Total # animals</t>
  </si>
  <si>
    <t># animals currently producing eggs or milk</t>
  </si>
  <si>
    <t>Animals sold/ year</t>
  </si>
  <si>
    <t>Pure improved breeds</t>
  </si>
  <si>
    <t>Price/ animal sold</t>
  </si>
  <si>
    <t>Feeds + labour + veterinary costs/ month</t>
  </si>
  <si>
    <t>Use purchased feeds</t>
  </si>
  <si>
    <t>Eggs/ milk consumed at home/ wasted (%)</t>
  </si>
  <si>
    <t>Animals slaughtered and eaten at home (%)</t>
  </si>
  <si>
    <t>Age of the animals (months)</t>
  </si>
  <si>
    <t>Cows_beef</t>
  </si>
  <si>
    <t>Sometimes</t>
  </si>
  <si>
    <t>Goat</t>
  </si>
  <si>
    <t>Never</t>
  </si>
  <si>
    <t>Other info</t>
  </si>
  <si>
    <t>Labor amount carried out by farmer directly or family (%)</t>
  </si>
  <si>
    <t>If you have other non-farming sources of income, please indicate average monthly income and expenses</t>
  </si>
  <si>
    <t>Description of activities:</t>
  </si>
  <si>
    <t>Retail shop and malimali</t>
  </si>
  <si>
    <t>Monthly income:</t>
  </si>
  <si>
    <t>Monthly expenses:</t>
  </si>
  <si>
    <t>Please indicate whether you are going to make investments which can't be considered regular annual expenditures (e.g.  building a greenhouse, planting new trees, etc.)</t>
  </si>
  <si>
    <t>Type of investment</t>
  </si>
  <si>
    <t>Investment amount</t>
  </si>
  <si>
    <t>Month of investment</t>
  </si>
  <si>
    <t>Month</t>
  </si>
  <si>
    <t>Assets and liabilities</t>
  </si>
  <si>
    <t>Is the land yours?</t>
  </si>
  <si>
    <t>Land rent amount/ year</t>
  </si>
  <si>
    <t>Month when land rent is paid</t>
  </si>
  <si>
    <t>Rural/ peri-urban location of land</t>
  </si>
  <si>
    <t>Rural area</t>
  </si>
  <si>
    <t>Is the house yours?</t>
  </si>
  <si>
    <t>Total value of house and furniture</t>
  </si>
  <si>
    <t>Value other assets (shops, machinery, accounts receivable…)</t>
  </si>
  <si>
    <t>What is the total value of the stock and inventory you have?</t>
  </si>
  <si>
    <t>Value of land/ other fixed assets purchased through the loan</t>
  </si>
  <si>
    <t>Cash available from M-Pesa or other bank accounts</t>
  </si>
  <si>
    <t>Debts  with friends or other people (total)</t>
  </si>
  <si>
    <t>History of the lates 5 loans taken</t>
  </si>
  <si>
    <t>Loan amount taken</t>
  </si>
  <si>
    <t>Current balance</t>
  </si>
  <si>
    <t>Date disbursed</t>
  </si>
  <si>
    <t>Institution</t>
  </si>
  <si>
    <t>Are you repaying/ have you repaid the loan in time?</t>
  </si>
  <si>
    <t>Comments</t>
  </si>
  <si>
    <t>8/12/2015</t>
  </si>
  <si>
    <t>Equity</t>
  </si>
  <si>
    <t xml:space="preserve">Timely repayment </t>
  </si>
  <si>
    <t>2/15/2017</t>
  </si>
  <si>
    <t>Mshwari</t>
  </si>
  <si>
    <t>6/1/2017</t>
  </si>
  <si>
    <t xml:space="preserve">Timely payment </t>
  </si>
  <si>
    <t>Mpesa &amp; bank cash flows (from past statements)</t>
  </si>
  <si>
    <t>Cash inflows</t>
  </si>
  <si>
    <t>Cash outflows</t>
  </si>
  <si>
    <t>June</t>
  </si>
  <si>
    <t>May</t>
  </si>
  <si>
    <t>April</t>
  </si>
  <si>
    <t>March</t>
  </si>
  <si>
    <t>February</t>
  </si>
  <si>
    <t>January</t>
  </si>
  <si>
    <t>Loan info</t>
  </si>
  <si>
    <t>Branch ID</t>
  </si>
  <si>
    <t>Submission date</t>
  </si>
  <si>
    <t>2017/7/4</t>
  </si>
  <si>
    <t>Loan terms</t>
  </si>
  <si>
    <t>Expected disbursement date</t>
  </si>
  <si>
    <t>2017/7/5</t>
  </si>
  <si>
    <t>Expected first repayment date</t>
  </si>
  <si>
    <t>2017/8/7</t>
  </si>
  <si>
    <t>Principal applied</t>
  </si>
  <si>
    <t>Interest rate</t>
  </si>
  <si>
    <t>Term period frequency</t>
  </si>
  <si>
    <t>Months</t>
  </si>
  <si>
    <t>Repayment every</t>
  </si>
  <si>
    <t>Term frequency</t>
  </si>
  <si>
    <t># grace periods on principal</t>
  </si>
  <si>
    <t># grace periods on interests</t>
  </si>
  <si>
    <t>Planting time</t>
  </si>
  <si>
    <t>Spraying time</t>
  </si>
  <si>
    <t>Harvesting time</t>
  </si>
  <si>
    <t>Cycle 2 planting</t>
  </si>
  <si>
    <t>Cycle 2 spraying</t>
  </si>
  <si>
    <t>Cycle 2 harvest</t>
  </si>
  <si>
    <t>Acres planted</t>
  </si>
  <si>
    <t>Improved variety</t>
  </si>
  <si>
    <t>Kg fertilizer/ acre</t>
  </si>
  <si>
    <t>Optimal fertilizer rate</t>
  </si>
  <si>
    <t>Yield/ acre/ cycle</t>
  </si>
  <si>
    <t>Production/ cycle</t>
  </si>
  <si>
    <t>Home consumption/ waste</t>
  </si>
  <si>
    <t>Sale price</t>
  </si>
  <si>
    <t>Price gain/ month stored</t>
  </si>
  <si>
    <t>Yearly Revenues</t>
  </si>
  <si>
    <t>% paid as bonus in January</t>
  </si>
  <si>
    <t>Cycles/ year</t>
  </si>
  <si>
    <t>Length of cycle</t>
  </si>
  <si>
    <t>Seed costs/ season</t>
  </si>
  <si>
    <t>Fertilizer costs/ season</t>
  </si>
  <si>
    <t>Foliar feed costs</t>
  </si>
  <si>
    <t>Pesticides costs/ season</t>
  </si>
  <si>
    <t>Storage costs/ season</t>
  </si>
  <si>
    <t>Labour costs</t>
  </si>
  <si>
    <t>Income source</t>
  </si>
  <si>
    <t># animals</t>
  </si>
  <si>
    <t># producing animals</t>
  </si>
  <si>
    <t>Life cycle meat animals</t>
  </si>
  <si>
    <t>Yield multiplier</t>
  </si>
  <si>
    <t>Kg meat/ animal</t>
  </si>
  <si>
    <t>Meat price/ Kg</t>
  </si>
  <si>
    <t>Produce yield</t>
  </si>
  <si>
    <t>Produce price</t>
  </si>
  <si>
    <t>Animals sale date</t>
  </si>
  <si>
    <t>Eggs/ milk consumed at home/ wasted</t>
  </si>
  <si>
    <t>Animals slaughtered and eaten at home</t>
  </si>
  <si>
    <t>Animal value</t>
  </si>
  <si>
    <t>Revenues</t>
  </si>
  <si>
    <t>Feed costs/ year</t>
  </si>
  <si>
    <t>Veterinary costs</t>
  </si>
  <si>
    <t>Labor costs</t>
  </si>
  <si>
    <t>Estimated monthly payment</t>
  </si>
  <si>
    <t>Estimated principal payment</t>
  </si>
  <si>
    <t>Estimated interest payment</t>
  </si>
  <si>
    <t>Months to repay</t>
  </si>
  <si>
    <t>New loan repayment schedule</t>
  </si>
  <si>
    <t>Installment</t>
  </si>
  <si>
    <t>Due date</t>
  </si>
  <si>
    <t>Total due</t>
  </si>
  <si>
    <t>Month of payment</t>
  </si>
  <si>
    <t>Loan parameter</t>
  </si>
  <si>
    <t>Value</t>
  </si>
  <si>
    <t>Branch:</t>
  </si>
  <si>
    <t>Repayment frequency</t>
  </si>
  <si>
    <t>Number of installments</t>
  </si>
  <si>
    <t>Principal installment</t>
  </si>
  <si>
    <t>Interest installment</t>
  </si>
  <si>
    <t>Baseline yield (Kg/acre/ season)</t>
  </si>
  <si>
    <t>Yield gain improved varieties</t>
  </si>
  <si>
    <t>Yield gain low fertilizers</t>
  </si>
  <si>
    <t>Yield gain optimal fetilizers</t>
  </si>
  <si>
    <t>Yield gain pesticides</t>
  </si>
  <si>
    <t>Max yield</t>
  </si>
  <si>
    <t>Yield no irrigation</t>
  </si>
  <si>
    <t>Optimal fertilizers (Kg/ acre)</t>
  </si>
  <si>
    <t>Foliar feed cost</t>
  </si>
  <si>
    <t>Sowing/ planting rate per acre</t>
  </si>
  <si>
    <t>Sowing/ planting unit</t>
  </si>
  <si>
    <t>Cost local varieties (KSh)</t>
  </si>
  <si>
    <t>Cost improved varieties (KSh)</t>
  </si>
  <si>
    <t>Labor cost (Ksh/ acre/ year or cycle)</t>
  </si>
  <si>
    <t>Pesticides cost/ acre</t>
  </si>
  <si>
    <t>Irrigation cost/ acre</t>
  </si>
  <si>
    <t>Storage cost/ kg/ month</t>
  </si>
  <si>
    <t>Sale price local variety (KSh/ Kg)</t>
  </si>
  <si>
    <t>Sale price improved variety (KSh/ Kg)</t>
  </si>
  <si>
    <t>Length  of cycle (months)</t>
  </si>
  <si>
    <t>Jan prod</t>
  </si>
  <si>
    <t>Feb prod</t>
  </si>
  <si>
    <t>Mar prod</t>
  </si>
  <si>
    <t>Apr prod</t>
  </si>
  <si>
    <t>May prod</t>
  </si>
  <si>
    <t>Jun prod</t>
  </si>
  <si>
    <t>Jul prod</t>
  </si>
  <si>
    <t>Aug prod</t>
  </si>
  <si>
    <t>Sep prod</t>
  </si>
  <si>
    <t>Oct prod</t>
  </si>
  <si>
    <t>Nov prod</t>
  </si>
  <si>
    <t>Dec prod</t>
  </si>
  <si>
    <t>Sackers</t>
  </si>
  <si>
    <t>N/A</t>
  </si>
  <si>
    <t>Beans</t>
  </si>
  <si>
    <t>Seeds (Kg)</t>
  </si>
  <si>
    <t>Cabbages</t>
  </si>
  <si>
    <t>Carrots</t>
  </si>
  <si>
    <t>Cassava</t>
  </si>
  <si>
    <t>Cuttings</t>
  </si>
  <si>
    <t>Coffee</t>
  </si>
  <si>
    <t>Mangoes</t>
  </si>
  <si>
    <t>Onions</t>
  </si>
  <si>
    <t>Potatoes</t>
  </si>
  <si>
    <t>Sweet potatoes</t>
  </si>
  <si>
    <t>Tea</t>
  </si>
  <si>
    <t>Tomatoes</t>
  </si>
  <si>
    <t>Wheat</t>
  </si>
  <si>
    <t>Produce type</t>
  </si>
  <si>
    <t>Produce unit</t>
  </si>
  <si>
    <t>Baseline produce yield</t>
  </si>
  <si>
    <t>Yield increase partial feeding</t>
  </si>
  <si>
    <t>Yield increase 100% feeding</t>
  </si>
  <si>
    <t>Yield increase improved/ cross breeds</t>
  </si>
  <si>
    <t>Produce price/ unit</t>
  </si>
  <si>
    <t>Meat price/ Kg local breed</t>
  </si>
  <si>
    <t>Meat price/ Kg improved breed</t>
  </si>
  <si>
    <t>Feed cost/ animal/ day</t>
  </si>
  <si>
    <t>Veterinary costs/ animal/ year</t>
  </si>
  <si>
    <t>Labor costs/ animal/ year</t>
  </si>
  <si>
    <t>Life cycle local breed (months)</t>
  </si>
  <si>
    <t>Life cycle improved breed (months)</t>
  </si>
  <si>
    <t>Chicken_layers</t>
  </si>
  <si>
    <t>eggs</t>
  </si>
  <si>
    <t>Eggs/ day</t>
  </si>
  <si>
    <t>Chicken_broilers</t>
  </si>
  <si>
    <t>meat</t>
  </si>
  <si>
    <t>Cows_dairy</t>
  </si>
  <si>
    <t>milk</t>
  </si>
  <si>
    <t>Liters/ day</t>
  </si>
  <si>
    <t>Sheep</t>
  </si>
  <si>
    <t>Pigs</t>
  </si>
  <si>
    <t>Other animals</t>
  </si>
  <si>
    <t>Other general costs</t>
  </si>
  <si>
    <t>Item</t>
  </si>
  <si>
    <t>Cost</t>
  </si>
  <si>
    <t>Fertilizer (Ksh/ Kg)</t>
  </si>
  <si>
    <t>Manure cost/ acre</t>
  </si>
  <si>
    <t>% HH expenses/ net cash flows</t>
  </si>
  <si>
    <t>Animals value</t>
  </si>
  <si>
    <t>Improved breed</t>
  </si>
  <si>
    <t>Branch differences</t>
  </si>
  <si>
    <t>Irrigation crops</t>
  </si>
  <si>
    <t>Peri_urban area</t>
  </si>
  <si>
    <t>Branch id</t>
  </si>
  <si>
    <t>Branch</t>
  </si>
  <si>
    <t>Branch region</t>
  </si>
  <si>
    <t>Needs irrigation</t>
  </si>
  <si>
    <t>Land value</t>
  </si>
  <si>
    <t>Donholm</t>
  </si>
  <si>
    <t>Nairobi</t>
  </si>
  <si>
    <t xml:space="preserve"> Gikomba</t>
  </si>
  <si>
    <t>Eldoret</t>
  </si>
  <si>
    <t>Other</t>
  </si>
  <si>
    <t>Kariobangi</t>
  </si>
  <si>
    <t>Kawangware</t>
  </si>
  <si>
    <t>Kiambu</t>
  </si>
  <si>
    <t>Kisii</t>
  </si>
  <si>
    <t>Kitengela</t>
  </si>
  <si>
    <t>Machakos</t>
  </si>
  <si>
    <t>Matuu</t>
  </si>
  <si>
    <t>Molo</t>
  </si>
  <si>
    <t>Muranga</t>
  </si>
  <si>
    <t>Naivasha</t>
  </si>
  <si>
    <t>Nakuru</t>
  </si>
  <si>
    <t>Narok</t>
  </si>
  <si>
    <t>Rongai</t>
  </si>
  <si>
    <t xml:space="preserve"> Thika</t>
  </si>
  <si>
    <t xml:space="preserve"> Zimmerman</t>
  </si>
  <si>
    <t>Lists</t>
  </si>
  <si>
    <t>Yes/No</t>
  </si>
  <si>
    <t>Percentages</t>
  </si>
  <si>
    <t>Month number</t>
  </si>
  <si>
    <t>Irrigation system</t>
  </si>
  <si>
    <t>Frequency</t>
  </si>
  <si>
    <t>Land location</t>
  </si>
  <si>
    <t>Source of seeds/ cuttings</t>
  </si>
  <si>
    <t>No planting: trees are mature</t>
  </si>
  <si>
    <t>Days</t>
  </si>
  <si>
    <t>Every month</t>
  </si>
  <si>
    <t>Weeks</t>
  </si>
  <si>
    <t>Other farmers</t>
  </si>
  <si>
    <t>Yes inorganic fertilizers</t>
  </si>
  <si>
    <t>Yes using a solar pump</t>
  </si>
  <si>
    <t>Always</t>
  </si>
  <si>
    <t>NGO</t>
  </si>
  <si>
    <t>July</t>
  </si>
  <si>
    <t>September</t>
  </si>
  <si>
    <t>October</t>
  </si>
  <si>
    <t>December</t>
  </si>
</sst>
</file>

<file path=xl/styles.xml><?xml version="1.0" encoding="utf-8"?>
<styleSheet xmlns="http://schemas.openxmlformats.org/spreadsheetml/2006/main" xml:space="preserve">
  <numFmts count="5">
    <numFmt numFmtId="164" formatCode="_(* #,##0_);_(* \(#,##0\);_(* &quot;-&quot;??_);_(@_)"/>
    <numFmt numFmtId="165" formatCode="_(* #,##0.0_);_(* \(#,##0.0\);_(* &quot;-&quot;?_);_(@_)"/>
    <numFmt numFmtId="166" formatCode="_(* #,##0.0_);_(* \(#,##0.0\);_(* &quot;-&quot;??_);_(@_)"/>
    <numFmt numFmtId="167" formatCode="0.000000000000000%"/>
    <numFmt numFmtId="168" formatCode="[$-409]mmm\-yy;@"/>
  </numFmts>
  <fonts count="10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</font>
    <font>
      <b val="0"/>
      <i val="1"/>
      <strike val="0"/>
      <u val="none"/>
      <sz val="11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ED7D31"/>
      <name val="Calibri"/>
    </font>
    <font>
      <b val="0"/>
      <i val="1"/>
      <strike val="0"/>
      <u val="none"/>
      <sz val="11"/>
      <color rgb="FFD8D8D8"/>
      <name val="Calibri"/>
    </font>
    <font>
      <b val="0"/>
      <i val="0"/>
      <strike val="0"/>
      <u val="none"/>
      <sz val="11"/>
      <color rgb="FFD8D8D8"/>
      <name val="Calibri"/>
    </font>
    <font>
      <b val="1"/>
      <i val="0"/>
      <strike val="0"/>
      <u val="none"/>
      <sz val="11"/>
      <color rgb="FFED7D31"/>
      <name val="Calibri"/>
    </font>
  </fonts>
  <fills count="7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B9BD5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ECECEC"/>
        <bgColor rgb="FFFFFFFF"/>
      </patternFill>
    </fill>
    <fill>
      <patternFill patternType="solid">
        <fgColor rgb="FFC5DEB5"/>
        <bgColor rgb="FFFFFFFF"/>
      </patternFill>
    </fill>
  </fills>
  <borders count="9">
    <border/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bottom style="double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bottom style="hair">
        <color rgb="FFA5A5A5"/>
      </bottom>
    </border>
    <border>
      <right style="thin">
        <color rgb="FF000000"/>
      </right>
      <top style="hair">
        <color rgb="FFA5A5A5"/>
      </top>
      <bottom style="hair">
        <color rgb="FFA5A5A5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9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2" numFmtId="0" fillId="3" borderId="0" applyFont="1" applyNumberFormat="0" applyFill="1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general" vertical="bottom" textRotation="0" wrapText="tru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1" applyFont="1" applyNumberFormat="0" applyFill="0" applyBorder="1" applyAlignment="1">
      <alignment horizontal="center" vertical="bottom" textRotation="0" wrapText="true" shrinkToFit="false"/>
    </xf>
    <xf xfId="0" fontId="1" numFmtId="0" fillId="2" borderId="1" applyFont="1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1">
      <alignment horizontal="center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0">
      <alignment horizontal="general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1" numFmtId="0" fillId="4" borderId="2" applyFont="1" applyNumberFormat="0" applyFill="1" applyBorder="1" applyAlignment="1">
      <alignment horizontal="center" vertical="bottom" textRotation="0" wrapText="true" shrinkToFit="false"/>
    </xf>
    <xf xfId="0" fontId="0" numFmtId="164" fillId="4" borderId="4" applyFont="0" applyNumberFormat="1" applyFill="1" applyBorder="1" applyAlignment="1">
      <alignment horizontal="center" vertical="bottom" textRotation="0" wrapText="false" shrinkToFit="false"/>
    </xf>
    <xf xfId="0" fontId="0" numFmtId="164" fillId="4" borderId="0" applyFont="0" applyNumberFormat="1" applyFill="1" applyBorder="0" applyAlignment="1">
      <alignment horizontal="center" vertical="bottom" textRotation="0" wrapText="false" shrinkToFit="false"/>
    </xf>
    <xf xfId="0" fontId="0" numFmtId="164" fillId="4" borderId="1" applyFont="0" applyNumberFormat="1" applyFill="1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3" applyFont="0" applyNumberFormat="1" applyFill="0" applyBorder="1" applyAlignment="0">
      <alignment horizontal="general" vertical="bottom" textRotation="0" wrapText="false" shrinkToFit="false"/>
    </xf>
    <xf xfId="0" fontId="0" numFmtId="17" fillId="2" borderId="4" applyFont="0" applyNumberFormat="1" applyFill="0" applyBorder="1" applyAlignment="0">
      <alignment horizontal="general" vertical="bottom" textRotation="0" wrapText="false" shrinkToFit="false"/>
    </xf>
    <xf xfId="0" fontId="0" numFmtId="17" fillId="2" borderId="0" applyFont="0" applyNumberFormat="1" applyFill="0" applyBorder="0" applyAlignment="0">
      <alignment horizontal="general" vertical="bottom" textRotation="0" wrapText="false" shrinkToFit="false"/>
    </xf>
    <xf xfId="0" fontId="0" numFmtId="17" fillId="2" borderId="1" applyFont="0" applyNumberFormat="1" applyFill="0" applyBorder="1" applyAlignment="0">
      <alignment horizontal="general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17" fillId="2" borderId="1" applyFont="1" applyNumberFormat="1" applyFill="0" applyBorder="1" applyAlignment="1">
      <alignment horizontal="righ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tru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164" fillId="2" borderId="5" applyFont="0" applyNumberFormat="1" applyFill="0" applyBorder="1" applyAlignment="0">
      <alignment horizontal="general" vertical="bottom" textRotation="0" wrapText="false" shrinkToFit="false"/>
    </xf>
    <xf xfId="0" fontId="1" numFmtId="17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1">
      <alignment horizontal="general" vertical="bottom" textRotation="0" wrapText="true" shrinkToFit="false"/>
    </xf>
    <xf xfId="0" fontId="0" numFmtId="0" fillId="2" borderId="6" applyFont="0" applyNumberFormat="0" applyFill="0" applyBorder="1" applyAlignment="1">
      <alignment horizontal="general" vertical="bottom" textRotation="0" wrapText="true" shrinkToFit="false"/>
    </xf>
    <xf xfId="0" fontId="1" numFmtId="17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5" borderId="2" applyFont="1" applyNumberFormat="0" applyFill="1" applyBorder="1" applyAlignment="1">
      <alignment horizontal="center" vertical="bottom" textRotation="0" wrapText="true" shrinkToFit="false"/>
    </xf>
    <xf xfId="0" fontId="0" numFmtId="164" fillId="5" borderId="4" applyFont="0" applyNumberFormat="1" applyFill="1" applyBorder="1" applyAlignment="0">
      <alignment horizontal="general" vertical="bottom" textRotation="0" wrapText="false" shrinkToFit="false"/>
    </xf>
    <xf xfId="0" fontId="0" numFmtId="164" fillId="5" borderId="0" applyFont="0" applyNumberFormat="1" applyFill="1" applyBorder="0" applyAlignment="0">
      <alignment horizontal="general" vertical="bottom" textRotation="0" wrapText="false" shrinkToFit="false"/>
    </xf>
    <xf xfId="0" fontId="0" numFmtId="164" fillId="5" borderId="1" applyFont="0" applyNumberFormat="1" applyFill="1" applyBorder="1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left" vertical="bottom" textRotation="0" wrapText="tru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tru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1">
      <alignment horizontal="right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9" fillId="2" borderId="0" applyFont="1" applyNumberFormat="1" applyFill="0" applyBorder="0" applyAlignment="0">
      <alignment horizontal="general" vertical="bottom" textRotation="0" wrapText="false" shrinkToFit="false"/>
    </xf>
    <xf xfId="0" fontId="4" numFmtId="164" fillId="2" borderId="0" applyFont="1" applyNumberFormat="1" applyFill="0" applyBorder="0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164" fillId="2" borderId="4" applyFont="0" applyNumberFormat="1" applyFill="0" applyBorder="1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5" fillId="2" borderId="1" applyFont="0" applyNumberFormat="1" applyFill="0" applyBorder="1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0" numFmtId="164" fillId="2" borderId="1" applyFont="0" applyNumberFormat="1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7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0" numFmtId="9" fillId="2" borderId="0" applyFont="0" applyNumberFormat="1" applyFill="0" applyBorder="0" applyAlignment="1">
      <alignment horizontal="center" vertical="bottom" textRotation="0" wrapText="false" shrinkToFit="false"/>
    </xf>
    <xf xfId="0" fontId="5" numFmtId="9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1">
      <alignment horizontal="left" vertical="bottom" textRotation="0" wrapText="false" shrinkToFit="false" indent="2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1">
      <alignment horizontal="center" vertical="bottom" textRotation="0" wrapText="false" shrinkToFit="false"/>
    </xf>
    <xf xfId="0" fontId="0" numFmtId="166" fillId="2" borderId="1" applyFont="0" applyNumberFormat="1" applyFill="0" applyBorder="1" applyAlignment="1">
      <alignment horizontal="center" vertical="bottom" textRotation="0" wrapText="false" shrinkToFit="false"/>
    </xf>
    <xf xfId="0" fontId="5" numFmtId="9" fillId="2" borderId="1" applyFont="1" applyNumberFormat="1" applyFill="0" applyBorder="1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166" fillId="2" borderId="0" applyFont="0" applyNumberFormat="1" applyFill="0" applyBorder="0" applyAlignment="1">
      <alignment horizontal="center" vertical="bottom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0" numFmtId="166" fillId="2" borderId="0" applyFont="0" applyNumberFormat="1" applyFill="0" applyBorder="0" applyAlignment="0">
      <alignment horizontal="general" vertical="bottom" textRotation="0" wrapText="false" shrinkToFit="false"/>
    </xf>
    <xf xfId="0" fontId="0" numFmtId="166" fillId="2" borderId="4" applyFont="0" applyNumberFormat="1" applyFill="0" applyBorder="1" applyAlignment="0">
      <alignment horizontal="general" vertical="bottom" textRotation="0" wrapText="false" shrinkToFit="false"/>
    </xf>
    <xf xfId="0" fontId="0" numFmtId="166" fillId="2" borderId="1" applyFont="0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14" fillId="2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4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8" applyFont="0" applyNumberFormat="0" applyFill="0" applyBorder="1" applyAlignment="1">
      <alignment horizontal="center" vertical="bottom" textRotation="0" wrapText="false" shrinkToFit="false"/>
    </xf>
    <xf xfId="0" fontId="0" numFmtId="164" fillId="2" borderId="8" applyFont="0" applyNumberFormat="1" applyFill="0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top" textRotation="0" wrapText="true" shrinkToFit="false"/>
    </xf>
    <xf xfId="0" fontId="0" numFmtId="0" fillId="6" borderId="4" applyFont="0" applyNumberFormat="0" applyFill="1" applyBorder="1" applyAlignment="0">
      <alignment horizontal="general" vertical="bottom" textRotation="0" wrapText="false" shrinkToFit="false"/>
    </xf>
    <xf xfId="0" fontId="0" numFmtId="0" fillId="6" borderId="0" applyFont="0" applyNumberFormat="0" applyFill="1" applyBorder="0" applyAlignment="0">
      <alignment horizontal="general" vertical="bottom" textRotation="0" wrapText="false" shrinkToFit="false"/>
    </xf>
    <xf xfId="0" fontId="0" numFmtId="0" fillId="6" borderId="1" applyFont="0" applyNumberFormat="0" applyFill="1" applyBorder="1" applyAlignment="0">
      <alignment horizontal="general" vertical="bottom" textRotation="0" wrapText="false" shrinkToFit="false"/>
    </xf>
    <xf xfId="0" fontId="0" numFmtId="0" fillId="6" borderId="4" applyFont="0" applyNumberFormat="0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left" vertical="bottom" textRotation="0" wrapText="false" shrinkToFit="false"/>
    </xf>
    <xf xfId="0" fontId="0" numFmtId="0" fillId="6" borderId="0" applyFont="0" applyNumberFormat="0" applyFill="1" applyBorder="0" applyAlignment="1">
      <alignment horizontal="center" vertical="bottom" textRotation="0" wrapText="false" shrinkToFit="false"/>
    </xf>
    <xf xfId="0" fontId="0" numFmtId="17" fillId="6" borderId="0" applyFont="0" applyNumberFormat="1" applyFill="1" applyBorder="0" applyAlignment="1">
      <alignment horizontal="center" vertical="bottom" textRotation="0" wrapText="false" shrinkToFit="false"/>
    </xf>
    <xf xfId="0" fontId="0" numFmtId="0" fillId="6" borderId="0" applyFont="0" applyNumberFormat="0" applyFill="1" applyBorder="0" applyAlignment="1">
      <alignment horizontal="left" vertical="bottom" textRotation="0" wrapText="false" shrinkToFit="false"/>
    </xf>
    <xf xfId="0" fontId="0" numFmtId="0" fillId="6" borderId="1" applyFont="0" applyNumberFormat="0" applyFill="1" applyBorder="1" applyAlignment="1">
      <alignment horizontal="center" vertical="bottom" textRotation="0" wrapText="false" shrinkToFit="false"/>
    </xf>
    <xf xfId="0" fontId="0" numFmtId="0" fillId="6" borderId="1" applyFont="0" applyNumberFormat="0" applyFill="1" applyBorder="1" applyAlignment="1">
      <alignment horizontal="left" vertical="bottom" textRotation="0" wrapText="false" shrinkToFit="false"/>
    </xf>
    <xf xfId="0" fontId="0" numFmtId="17" fillId="6" borderId="1" applyFont="0" applyNumberFormat="1" applyFill="1" applyBorder="1" applyAlignment="1">
      <alignment horizontal="center" vertical="bottom" textRotation="0" wrapText="false" shrinkToFit="false"/>
    </xf>
    <xf xfId="0" fontId="0" numFmtId="1" fillId="6" borderId="4" applyFont="0" applyNumberFormat="1" applyFill="1" applyBorder="1" applyAlignment="1">
      <alignment horizontal="center" vertical="bottom" textRotation="0" wrapText="false" shrinkToFit="false"/>
    </xf>
    <xf xfId="0" fontId="0" numFmtId="1" fillId="6" borderId="0" applyFont="0" applyNumberFormat="1" applyFill="1" applyBorder="0" applyAlignment="1">
      <alignment horizontal="center" vertical="bottom" textRotation="0" wrapText="false" shrinkToFit="false"/>
    </xf>
    <xf xfId="0" fontId="0" numFmtId="1" fillId="6" borderId="1" applyFont="0" applyNumberFormat="1" applyFill="1" applyBorder="1" applyAlignment="1">
      <alignment horizontal="center" vertical="bottom" textRotation="0" wrapText="false" shrinkToFit="false"/>
    </xf>
    <xf xfId="0" fontId="0" numFmtId="0" fillId="6" borderId="4" applyFont="0" applyNumberFormat="0" applyFill="1" applyBorder="1" applyAlignment="1">
      <alignment horizontal="right" vertical="bottom" textRotation="0" wrapText="false" shrinkToFit="false"/>
    </xf>
    <xf xfId="0" fontId="0" numFmtId="164" fillId="6" borderId="0" applyFont="0" applyNumberFormat="1" applyFill="1" applyBorder="0" applyAlignment="0">
      <alignment horizontal="general" vertical="bottom" textRotation="0" wrapText="false" shrinkToFit="false"/>
    </xf>
    <xf xfId="0" fontId="0" numFmtId="164" fillId="6" borderId="1" applyFont="0" applyNumberFormat="1" applyFill="1" applyBorder="1" applyAlignment="0">
      <alignment horizontal="general" vertical="bottom" textRotation="0" wrapText="false" shrinkToFit="false"/>
    </xf>
    <xf xfId="0" fontId="0" numFmtId="164" fillId="6" borderId="4" applyFont="0" applyNumberFormat="1" applyFill="1" applyBorder="1" applyAlignment="0">
      <alignment horizontal="general" vertical="bottom" textRotation="0" wrapText="false" shrinkToFit="false"/>
    </xf>
    <xf xfId="0" fontId="0" numFmtId="0" fillId="6" borderId="8" applyFont="0" applyNumberFormat="0" applyFill="1" applyBorder="1" applyAlignment="1">
      <alignment horizontal="center" vertical="bottom" textRotation="0" wrapText="false" shrinkToFit="false"/>
    </xf>
    <xf xfId="0" fontId="0" numFmtId="164" fillId="6" borderId="8" applyFont="0" applyNumberFormat="1" applyFill="1" applyBorder="1" applyAlignment="0">
      <alignment horizontal="general" vertical="bottom" textRotation="0" wrapText="false" shrinkToFit="false"/>
    </xf>
    <xf xfId="0" fontId="0" numFmtId="14" fillId="6" borderId="4" applyFont="0" applyNumberFormat="1" applyFill="1" applyBorder="1" applyAlignment="1">
      <alignment horizontal="center" vertical="bottom" textRotation="0" wrapText="false" shrinkToFit="false"/>
    </xf>
    <xf xfId="0" fontId="0" numFmtId="164" fillId="6" borderId="4" applyFont="0" applyNumberFormat="1" applyFill="1" applyBorder="1" applyAlignment="1">
      <alignment horizontal="center" vertical="bottom" textRotation="0" wrapText="false" shrinkToFit="false"/>
    </xf>
    <xf xfId="0" fontId="0" numFmtId="14" fillId="6" borderId="0" applyFont="0" applyNumberFormat="1" applyFill="1" applyBorder="0" applyAlignment="1">
      <alignment horizontal="center" vertical="bottom" textRotation="0" wrapText="false" shrinkToFit="false"/>
    </xf>
    <xf xfId="0" fontId="0" numFmtId="164" fillId="6" borderId="0" applyFont="0" applyNumberFormat="1" applyFill="1" applyBorder="0" applyAlignment="1">
      <alignment horizontal="center" vertical="bottom" textRotation="0" wrapText="false" shrinkToFit="false"/>
    </xf>
    <xf xfId="0" fontId="0" numFmtId="14" fillId="6" borderId="1" applyFont="0" applyNumberFormat="1" applyFill="1" applyBorder="1" applyAlignment="1">
      <alignment horizontal="center" vertical="bottom" textRotation="0" wrapText="false" shrinkToFit="false"/>
    </xf>
    <xf xfId="0" fontId="0" numFmtId="164" fillId="6" borderId="1" applyFont="0" applyNumberFormat="1" applyFill="1" applyBorder="1" applyAlignment="1">
      <alignment horizontal="center" vertical="bottom" textRotation="0" wrapText="false" shrinkToFit="false"/>
    </xf>
    <xf xfId="0" fontId="0" numFmtId="14" fillId="6" borderId="8" applyFont="0" applyNumberFormat="1" applyFill="1" applyBorder="1" applyAlignment="0">
      <alignment horizontal="general" vertical="bottom" textRotation="0" wrapText="false" shrinkToFit="false"/>
    </xf>
    <xf xfId="0" fontId="0" numFmtId="164" fillId="6" borderId="8" applyFont="0" applyNumberFormat="1" applyFill="1" applyBorder="1" applyAlignment="1">
      <alignment horizontal="right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0" applyFont="0" applyNumberFormat="1" applyFill="0" applyBorder="0" applyAlignment="0">
      <alignment horizontal="general" vertical="bottom" textRotation="0" wrapText="false" shrinkToFit="false"/>
    </xf>
    <xf xfId="0" fontId="0" numFmtId="168" fillId="2" borderId="1" applyFont="0" applyNumberFormat="1" applyFill="0" applyBorder="1" applyAlignment="0">
      <alignment horizontal="general" vertical="bottom" textRotation="0" wrapText="false" shrinkToFit="false"/>
    </xf>
    <xf xfId="0" fontId="2" numFmtId="17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1" fillId="2" borderId="0" applyFont="0" applyNumberFormat="1" applyFill="0" applyBorder="0" applyAlignment="1">
      <alignment horizontal="center" vertical="bottom" textRotation="0" wrapText="false" shrinkToFit="false"/>
    </xf>
    <xf xfId="0" fontId="0" numFmtId="1" fillId="6" borderId="8" applyFont="0" applyNumberFormat="1" applyFill="1" applyBorder="1" applyAlignment="1">
      <alignment horizontal="center" vertical="center" textRotation="0" wrapText="false" shrinkToFit="false"/>
    </xf>
    <xf xfId="0" fontId="1" numFmtId="9" fillId="2" borderId="2" applyFont="1" applyNumberFormat="1" applyFill="0" applyBorder="1" applyAlignment="1">
      <alignment horizontal="center" vertical="bottom" textRotation="0" wrapText="true" shrinkToFit="false"/>
    </xf>
    <xf xfId="0" fontId="0" numFmtId="9" fillId="2" borderId="4" applyFont="0" applyNumberFormat="1" applyFill="0" applyBorder="1" applyAlignment="0">
      <alignment horizontal="general" vertical="bottom" textRotation="0" wrapText="false" shrinkToFit="false"/>
    </xf>
    <xf xfId="0" fontId="0" numFmtId="9" fillId="2" borderId="1" applyFont="0" applyNumberFormat="1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9" fillId="2" borderId="0" applyFont="1" applyNumberFormat="1" applyFill="0" applyBorder="0" applyAlignment="1">
      <alignment horizontal="right" vertical="bottom" textRotation="0" wrapText="false" shrinkToFit="false"/>
    </xf>
    <xf xfId="0" fontId="7" numFmtId="9" fillId="2" borderId="0" applyFont="1" applyNumberFormat="1" applyFill="0" applyBorder="0" applyAlignment="0">
      <alignment horizontal="general" vertical="bottom" textRotation="0" wrapText="false" shrinkToFit="false"/>
    </xf>
    <xf xfId="0" fontId="7" numFmtId="164" fillId="2" borderId="0" applyFont="1" applyNumberFormat="1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 indent="2"/>
    </xf>
    <xf xfId="0" fontId="4" numFmtId="0" fillId="2" borderId="3" applyFont="1" applyNumberFormat="0" applyFill="0" applyBorder="1" applyAlignment="1">
      <alignment horizontal="left" vertical="bottom" textRotation="0" wrapText="false" shrinkToFit="false" indent="2"/>
    </xf>
    <xf xfId="0" fontId="0" numFmtId="164" fillId="2" borderId="0" applyFont="0" applyNumberFormat="1" applyFill="0" applyBorder="0" applyAlignment="1">
      <alignment horizontal="left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4" fillId="2" borderId="1" applyFont="1" applyNumberFormat="1" applyFill="0" applyBorder="1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left" vertical="top" textRotation="0" wrapText="tru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b val="1"/>
        <i val="0"/>
        <sz val="10"/>
        <color rgb="FF70AD47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>
        <sz val="10"/>
        <color rgb="FFFF0000"/>
        <name val="Calibri"/>
      </font>
      <numFmt numFmtId="164" formatCode="General"/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  <dxf>
      <font/>
      <numFmt numFmtId="164" formatCode="General"/>
      <fill>
        <patternFill patternType="solid">
          <fgColor rgb="FF000000"/>
          <bgColor rgb="FFC5DEB5"/>
        </patternFill>
      </fill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><Relationship Id="rId_comments_vml1" Type="http://schemas.openxmlformats.org/officeDocument/2006/relationships/vmlDrawing" Target="../drawings/vmlDrawing5.vml"/><Relationship Id="rId_comments1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G26"/>
  <sheetViews>
    <sheetView tabSelected="0" workbookViewId="0" zoomScale="90" zoomScaleNormal="90" showGridLines="false" showRowColHeaders="1">
      <selection activeCell="G4" sqref="G4"/>
    </sheetView>
  </sheetViews>
  <sheetFormatPr defaultRowHeight="14.4" outlineLevelRow="0" outlineLevelCol="0"/>
  <cols>
    <col min="1" max="1" width="5" customWidth="true" style="0"/>
    <col min="2" max="2" width="40.140625" customWidth="true" style="1"/>
    <col min="3" max="3" width="14.85546875" customWidth="true" style="0"/>
    <col min="4" max="4" width="9.140625" customWidth="true" style="0"/>
    <col min="5" max="5" width="9.140625" customWidth="true" style="0"/>
    <col min="6" max="6" width="9.140625" customWidth="true" style="0"/>
    <col min="7" max="7" width="20.140625" customWidth="true" style="0"/>
  </cols>
  <sheetData>
    <row r="1" spans="1:7" customHeight="1" ht="12"/>
    <row r="2" spans="1:7">
      <c r="B2" s="1" t="s">
        <v>0</v>
      </c>
      <c r="C2" s="192" t="str">
        <f>IFERROR(IF(AND(C11&lt;=60%,HLOOKUP(1,Output!B4:Y5,2,0)=Output!$B$5,'Financial summary'!C13&lt;80%),"Approve","Review: "&amp;IF(C11&gt;60%,"loan size ratio &gt;60%, ","")&amp;IF(HLOOKUP(1,Output!B4:Y5,2,0)&lt;&gt;Output!$B$5,"provide principal and/or interest grace periods until "&amp;C12&amp;", ","")&amp;IF(C13&gt;80%,"indebtness ratio&gt;80%","")),"")</f>
        <v>Approve</v>
      </c>
      <c r="D2" s="192"/>
      <c r="E2" s="192"/>
      <c r="F2" s="192"/>
      <c r="G2" s="192"/>
    </row>
    <row r="3" spans="1:7">
      <c r="C3" s="192"/>
      <c r="D3" s="192"/>
      <c r="E3" s="192"/>
      <c r="F3" s="192"/>
      <c r="G3" s="192"/>
    </row>
    <row r="4" spans="1:7" customHeight="1" ht="9.75">
      <c r="C4" s="141"/>
      <c r="D4" s="141"/>
      <c r="E4" s="141"/>
      <c r="F4" s="141"/>
      <c r="G4" s="141"/>
    </row>
    <row r="5" spans="1:7">
      <c r="B5" s="3" t="s">
        <v>1</v>
      </c>
      <c r="C5" s="9"/>
      <c r="D5" s="9"/>
      <c r="E5" s="9"/>
      <c r="F5" s="9"/>
      <c r="G5" s="9"/>
    </row>
    <row r="6" spans="1:7">
      <c r="B6" s="1" t="s">
        <v>2</v>
      </c>
      <c r="C6" t="str">
        <f>IF(IF(Output!A18="","",Output!A18)&amp;IF(Output!A19="","",", "&amp;Output!A19)&amp;IF(Output!A20="","",", "&amp;Output!A20)&amp;IF(Output!A21="","",", "&amp;Output!A21)&amp;IF(Output!A22="","",", "&amp;Output!A22)="","None",IF(Output!A18="","",Output!A18)&amp;IF(Output!A19="","",", "&amp;Output!A19)&amp;IF(Output!A20="","",", "&amp;Output!A20)&amp;IF(Output!A21="","",", "&amp;Output!A21)&amp;IF(Output!A22="","",", "&amp;Output!A22))</f>
        <v>Bananas, 0, Maize, 0, 0</v>
      </c>
    </row>
    <row r="7" spans="1:7">
      <c r="B7" s="1" t="s">
        <v>3</v>
      </c>
      <c r="C7" t="str">
        <f>IF(IF(Output!A24="","",Output!A24)&amp;IF(Output!A25="","",", "&amp;Output!A25)&amp;IF(Output!A26="","",", "&amp;Output!A26)&amp;IF(Output!A27="","",", "&amp;Output!A27)="","None",IF(Output!A24="","",Output!A24)&amp;IF(Output!A25="","",", "&amp;Output!A25)&amp;IF(Output!A26="","",", "&amp;Output!A26)&amp;IF(Output!A27="","",", "&amp;Output!A27))</f>
        <v>Cows_beef, Goat</v>
      </c>
    </row>
    <row r="8" spans="1:7">
      <c r="B8" s="1" t="s">
        <v>4</v>
      </c>
      <c r="C8" t="str">
        <f>IF(Inputs!B29="","None",Inputs!B29)</f>
        <v>Retail shop and malimali</v>
      </c>
    </row>
    <row r="9" spans="1:7" customHeight="1" ht="8.25"/>
    <row r="10" spans="1:7">
      <c r="B10" s="3" t="s">
        <v>5</v>
      </c>
      <c r="C10" s="9"/>
      <c r="D10" s="9"/>
      <c r="E10" s="9"/>
      <c r="F10" s="9"/>
      <c r="G10" s="9"/>
    </row>
    <row r="11" spans="1:7">
      <c r="B11" s="1" t="s">
        <v>6</v>
      </c>
      <c r="C11" s="68">
        <f>IFERROR(IF(Output!Z10/(Output!Z6+Output!Z9)&lt;=0,999,Output!Z10/(Output!Z6+Output!Z9)),"")</f>
        <v>0.4955876049090065</v>
      </c>
    </row>
    <row r="12" spans="1:7">
      <c r="B12" s="1" t="s">
        <v>7</v>
      </c>
      <c r="C12" s="79" t="str">
        <f>IFERROR(INDEX(Parameters!C79:C90,MONTH(HLOOKUP(1,Output!B4:Y5,2,0)))&amp;" "&amp;YEAR(HLOOKUP(1,Output!B4:Y5,2,0)),"N/A")</f>
        <v>July 2017</v>
      </c>
    </row>
    <row r="13" spans="1:7">
      <c r="B13" s="1" t="s">
        <v>8</v>
      </c>
      <c r="C13" s="67">
        <f>IFERROR(Output!B107/Output!B101,"")</f>
        <v>0.02891604010025063</v>
      </c>
    </row>
    <row r="14" spans="1:7" customHeight="1" ht="6.75"/>
    <row r="15" spans="1:7">
      <c r="B15" s="3" t="s">
        <v>9</v>
      </c>
      <c r="C15" s="9"/>
      <c r="D15" s="9"/>
      <c r="E15" s="9"/>
      <c r="F15" s="9"/>
      <c r="G15" s="9"/>
    </row>
    <row r="16" spans="1:7">
      <c r="B16" s="1" t="s">
        <v>10</v>
      </c>
      <c r="C16" s="36">
        <f>MAX(Output!B10:S10)</f>
        <v>10000</v>
      </c>
    </row>
    <row r="17" spans="1:7">
      <c r="B17" s="1" t="s">
        <v>11</v>
      </c>
      <c r="C17" s="36">
        <f>SUM(Output!B6:M6)</f>
        <v>129782.5137041341</v>
      </c>
    </row>
    <row r="18" spans="1:7">
      <c r="B18" s="1" t="s">
        <v>12</v>
      </c>
      <c r="C18" s="36">
        <f>MIN(Output!B6:M6)</f>
        <v>5107.292808677841</v>
      </c>
    </row>
    <row r="19" spans="1:7">
      <c r="B19" s="1" t="s">
        <v>13</v>
      </c>
      <c r="C19" s="78" t="str">
        <f>INDEX(Parameters!$C$79:$C$90,MONTH(HLOOKUP(1,Output!B2:M5,4,0)))&amp;" "&amp;YEAR(HLOOKUP(1,Output!B2:M5,4,0))</f>
        <v>August 2017</v>
      </c>
    </row>
    <row r="20" spans="1:7">
      <c r="B20" s="1" t="s">
        <v>14</v>
      </c>
      <c r="C20" s="36">
        <f>MAX(Output!B6:M6)</f>
        <v>18198.79280867784</v>
      </c>
    </row>
    <row r="21" spans="1:7">
      <c r="B21" s="1" t="s">
        <v>15</v>
      </c>
      <c r="C21" s="78" t="str">
        <f>INDEX(Parameters!$C$79:$C$90,MONTH(HLOOKUP(1,Output!B3:M5,3,0)))&amp;" "&amp;YEAR(HLOOKUP(1,Output!B3:M5,3,0))</f>
        <v>December 2017</v>
      </c>
    </row>
    <row r="22" spans="1:7" customHeight="1" ht="9"/>
    <row r="23" spans="1:7">
      <c r="B23" s="3" t="s">
        <v>16</v>
      </c>
      <c r="C23" s="9"/>
      <c r="D23" s="9"/>
      <c r="E23" s="9"/>
      <c r="F23" s="9"/>
      <c r="G23" s="9"/>
    </row>
    <row r="24" spans="1:7">
      <c r="B24" s="1" t="s">
        <v>17</v>
      </c>
      <c r="C24" s="36">
        <f>IFERROR(AVERAGE(Inputs!A56:A60),"")</f>
        <v>9916.666666666666</v>
      </c>
    </row>
    <row r="25" spans="1:7">
      <c r="B25" s="1" t="s">
        <v>18</v>
      </c>
      <c r="C25" s="36">
        <f>MAX(Inputs!A56:A60)</f>
        <v>21750</v>
      </c>
    </row>
    <row r="26" spans="1:7">
      <c r="B26" s="1" t="s">
        <v>19</v>
      </c>
      <c r="C26" s="135" t="str">
        <f>IF(OR(Inputs!E56="No",Inputs!E57="No",Inputs!E58="No",Inputs!E59="No",Inputs!E60="No"),"No","Yes")</f>
        <v>Yes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2:G3"/>
  </mergeCells>
  <conditionalFormatting sqref="C2">
    <cfRule type="expression" dxfId="0" priority="1">
      <formula>$C$2="Approve"</formula>
    </cfRule>
  </conditionalFormatting>
  <conditionalFormatting sqref="C3">
    <cfRule type="expression" dxfId="0" priority="2">
      <formula>$C$2="Approve"</formula>
    </cfRule>
  </conditionalFormatting>
  <conditionalFormatting sqref="C4">
    <cfRule type="expression" dxfId="0" priority="3">
      <formula>$C$2="Approve"</formula>
    </cfRule>
  </conditionalFormatting>
  <conditionalFormatting sqref="D2">
    <cfRule type="expression" dxfId="0" priority="4">
      <formula>$C$2="Approve"</formula>
    </cfRule>
  </conditionalFormatting>
  <conditionalFormatting sqref="D3">
    <cfRule type="expression" dxfId="0" priority="5">
      <formula>$C$2="Approve"</formula>
    </cfRule>
  </conditionalFormatting>
  <conditionalFormatting sqref="D4">
    <cfRule type="expression" dxfId="0" priority="6">
      <formula>$C$2="Approve"</formula>
    </cfRule>
  </conditionalFormatting>
  <conditionalFormatting sqref="E2">
    <cfRule type="expression" dxfId="0" priority="7">
      <formula>$C$2="Approve"</formula>
    </cfRule>
  </conditionalFormatting>
  <conditionalFormatting sqref="E3">
    <cfRule type="expression" dxfId="0" priority="8">
      <formula>$C$2="Approve"</formula>
    </cfRule>
  </conditionalFormatting>
  <conditionalFormatting sqref="E4">
    <cfRule type="expression" dxfId="0" priority="9">
      <formula>$C$2="Approve"</formula>
    </cfRule>
  </conditionalFormatting>
  <conditionalFormatting sqref="F2">
    <cfRule type="expression" dxfId="0" priority="10">
      <formula>$C$2="Approve"</formula>
    </cfRule>
  </conditionalFormatting>
  <conditionalFormatting sqref="F3">
    <cfRule type="expression" dxfId="0" priority="11">
      <formula>$C$2="Approve"</formula>
    </cfRule>
  </conditionalFormatting>
  <conditionalFormatting sqref="F4">
    <cfRule type="expression" dxfId="0" priority="12">
      <formula>$C$2="Approve"</formula>
    </cfRule>
  </conditionalFormatting>
  <conditionalFormatting sqref="G2">
    <cfRule type="expression" dxfId="0" priority="13">
      <formula>$C$2="Approve"</formula>
    </cfRule>
  </conditionalFormatting>
  <conditionalFormatting sqref="G3">
    <cfRule type="expression" dxfId="0" priority="14">
      <formula>$C$2="Approve"</formula>
    </cfRule>
  </conditionalFormatting>
  <conditionalFormatting sqref="G4">
    <cfRule type="expression" dxfId="0" priority="15">
      <formula>$C$2="Approve"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D107"/>
  <sheetViews>
    <sheetView tabSelected="0" workbookViewId="0" zoomScale="90" zoomScaleNormal="90" showGridLines="false" showRowColHeaders="1">
      <pane xSplit="11" topLeftCell="L1" activePane="topRight" state="frozen"/>
      <selection pane="topRight" activeCell="L1" sqref="L1"/>
    </sheetView>
  </sheetViews>
  <sheetFormatPr defaultRowHeight="14.4" outlineLevelRow="1" outlineLevelCol="0"/>
  <cols>
    <col min="1" max="1" width="43.5703125" customWidth="true" style="0"/>
    <col min="2" max="2" width="14.5703125" customWidth="true" style="0"/>
    <col min="3" max="3" width="11.28515625" customWidth="true" style="0"/>
    <col min="4" max="4" width="12.85546875" customWidth="true" style="0"/>
    <col min="5" max="5" width="11.28515625" customWidth="true" style="0"/>
    <col min="6" max="6" width="11.28515625" customWidth="true" style="0"/>
    <col min="7" max="7" width="11.28515625" customWidth="true" style="0"/>
    <col min="8" max="8" width="11.28515625" customWidth="true" style="0"/>
    <col min="9" max="9" width="11.28515625" customWidth="true" style="0"/>
    <col min="10" max="10" width="11.28515625" customWidth="true" style="0"/>
    <col min="11" max="11" width="10" customWidth="true" style="0"/>
    <col min="12" max="12" width="11.28515625" customWidth="true" style="0"/>
    <col min="13" max="13" width="11.28515625" customWidth="true" style="0"/>
    <col min="14" max="14" width="11.28515625" customWidth="true" style="0"/>
    <col min="15" max="15" width="11.28515625" customWidth="true" style="0"/>
    <col min="16" max="16" width="11.28515625" customWidth="true" style="0"/>
    <col min="17" max="17" width="11.28515625" customWidth="true" style="0"/>
    <col min="18" max="18" width="11.28515625" customWidth="true" style="0"/>
    <col min="19" max="19" width="11.28515625" customWidth="true" style="0"/>
    <col min="20" max="20" width="11.28515625" customWidth="true" style="0"/>
    <col min="21" max="21" width="11.28515625" customWidth="true" style="0"/>
    <col min="22" max="22" width="11.28515625" customWidth="true" style="0"/>
    <col min="23" max="23" width="11.28515625" customWidth="true" style="0"/>
    <col min="24" max="24" width="11.28515625" customWidth="true" style="0"/>
    <col min="25" max="25" width="11.28515625" customWidth="true" style="0"/>
    <col min="26" max="26" width="25" customWidth="true" style="0"/>
    <col min="27" max="27" width="25" customWidth="true" style="0"/>
    <col min="28" max="28" width="17.140625" customWidth="true" style="0"/>
  </cols>
  <sheetData>
    <row r="1" spans="1:30">
      <c r="A1" s="3" t="s">
        <v>20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4"/>
    </row>
    <row r="2" spans="1:30" s="49" customFormat="1">
      <c r="A2" s="49" t="s">
        <v>21</v>
      </c>
      <c r="B2" s="49">
        <f>IF(B6=MIN($B$6:$M$6),1,0)</f>
        <v>0</v>
      </c>
      <c r="C2" s="49">
        <f>IF(C6=MIN($B$6:$M$6),1,0)</f>
        <v>1</v>
      </c>
      <c r="D2" s="49">
        <f>IF(D6=MIN($B$6:$M$6),1,0)</f>
        <v>0</v>
      </c>
      <c r="E2" s="49">
        <f>IF(E6=MIN($B$6:$M$6),1,0)</f>
        <v>0</v>
      </c>
      <c r="F2" s="49">
        <f>IF(F6=MIN($B$6:$M$6),1,0)</f>
        <v>0</v>
      </c>
      <c r="G2" s="49">
        <f>IF(G6=MIN($B$6:$M$6),1,0)</f>
        <v>0</v>
      </c>
      <c r="H2" s="49">
        <f>IF(H6=MIN($B$6:$M$6),1,0)</f>
        <v>0</v>
      </c>
      <c r="I2" s="49">
        <f>IF(I6=MIN($B$6:$M$6),1,0)</f>
        <v>0</v>
      </c>
      <c r="J2" s="49">
        <f>IF(J6=MIN($B$6:$M$6),1,0)</f>
        <v>0</v>
      </c>
      <c r="K2" s="49">
        <f>IF(K6=MIN($B$6:$M$6),1,0)</f>
        <v>0</v>
      </c>
      <c r="L2" s="49">
        <f>IF(L6=MIN($B$6:$M$6),1,0)</f>
        <v>0</v>
      </c>
      <c r="M2" s="49">
        <f>IF(M6=MIN($B$6:$M$6),1,0)</f>
        <v>0</v>
      </c>
    </row>
    <row r="3" spans="1:30" s="49" customFormat="1">
      <c r="A3" s="49" t="s">
        <v>22</v>
      </c>
      <c r="B3" s="49">
        <f>IF(B6=MAX($B$6:$M$6),1,0)</f>
        <v>0</v>
      </c>
      <c r="C3" s="49">
        <f>IF(C6=MAX($B$6:$M$6),1,0)</f>
        <v>0</v>
      </c>
      <c r="D3" s="49">
        <f>IF(D6=MAX($B$6:$M$6),1,0)</f>
        <v>0</v>
      </c>
      <c r="E3" s="49">
        <f>IF(E6=MAX($B$6:$M$6),1,0)</f>
        <v>0</v>
      </c>
      <c r="F3" s="49">
        <f>IF(F6=MAX($B$6:$M$6),1,0)</f>
        <v>0</v>
      </c>
      <c r="G3" s="49">
        <f>IF(G6=MAX($B$6:$M$6),1,0)</f>
        <v>1</v>
      </c>
      <c r="H3" s="49">
        <f>IF(H6=MAX($B$6:$M$6),1,0)</f>
        <v>0</v>
      </c>
      <c r="I3" s="49">
        <f>IF(I6=MAX($B$6:$M$6),1,0)</f>
        <v>0</v>
      </c>
      <c r="J3" s="49">
        <f>IF(J6=MAX($B$6:$M$6),1,0)</f>
        <v>0</v>
      </c>
      <c r="K3" s="49">
        <f>IF(K6=MAX($B$6:$M$6),1,0)</f>
        <v>0</v>
      </c>
      <c r="L3" s="49">
        <f>IF(L6=MAX($B$6:$M$6),1,0)</f>
        <v>0</v>
      </c>
      <c r="M3" s="49">
        <f>IF(M6=MAX($B$6:$M$6),1,0)</f>
        <v>1</v>
      </c>
    </row>
    <row r="4" spans="1:30" s="49" customFormat="1">
      <c r="A4" s="49" t="s">
        <v>23</v>
      </c>
      <c r="B4" s="49">
        <f>IF(MAX(B12:$Y$12)&lt;=0.6,1,0)</f>
        <v>1</v>
      </c>
      <c r="C4" s="49">
        <f>IF(AND(MAX(C12:$Y$12)&lt;=0.6,B12&gt;0.6,B12&lt;&gt;""),1,0)</f>
        <v>0</v>
      </c>
      <c r="D4" s="49">
        <f>IF(AND(MAX(D12:$Y$12)&lt;=0.6,C12&gt;0.6,C12&lt;&gt;""),1,0)</f>
        <v>0</v>
      </c>
      <c r="E4" s="49">
        <f>IF(AND(MAX(E12:$Y$12)&lt;=0.6,D12&gt;0.6,D12&lt;&gt;""),1,0)</f>
        <v>0</v>
      </c>
      <c r="F4" s="49">
        <f>IF(AND(MAX(F12:$Y$12)&lt;=0.6,E12&gt;0.6,E12&lt;&gt;""),1,0)</f>
        <v>0</v>
      </c>
      <c r="G4" s="49">
        <f>IF(AND(MAX(G12:$Y$12)&lt;=0.6,F12&gt;0.6,F12&lt;&gt;""),1,0)</f>
        <v>0</v>
      </c>
      <c r="H4" s="49">
        <f>IF(AND(MAX(H12:$Y$12)&lt;=0.6,G12&gt;0.6,G12&lt;&gt;""),1,0)</f>
        <v>0</v>
      </c>
      <c r="I4" s="49">
        <f>IF(AND(MAX(I12:$Y$12)&lt;=0.6,H12&gt;0.6,H12&lt;&gt;""),1,0)</f>
        <v>0</v>
      </c>
      <c r="J4" s="49">
        <f>IF(AND(MAX(J12:$Y$12)&lt;=0.6,I12&gt;0.6,I12&lt;&gt;""),1,0)</f>
        <v>0</v>
      </c>
      <c r="K4" s="49">
        <f>IF(AND(MAX(K12:$Y$12)&lt;=0.6,J12&gt;0.6,J12&lt;&gt;""),1,0)</f>
        <v>0</v>
      </c>
      <c r="L4" s="49">
        <f>IF(AND(MAX(L12:$Y$12)&lt;=0.6,K12&gt;0.6,K12&lt;&gt;""),1,0)</f>
        <v>0</v>
      </c>
      <c r="M4" s="49">
        <f>IF(AND(MAX(M12:$Y$12)&lt;=0.6,L12&gt;0.6,L12&lt;&gt;""),1,0)</f>
        <v>0</v>
      </c>
      <c r="N4" s="49">
        <f>IF(AND(MAX(N12:$Y$12)&lt;=0.6,M12&gt;0.6,M12&lt;&gt;""),1,0)</f>
        <v>0</v>
      </c>
      <c r="O4" s="49">
        <f>IF(AND(MAX(O12:$Y$12)&lt;=0.6,N12&gt;0.6,N12&lt;&gt;""),1,0)</f>
        <v>0</v>
      </c>
      <c r="P4" s="49">
        <f>IF(AND(MAX(P12:$Y$12)&lt;=0.6,O12&gt;0.6,O12&lt;&gt;""),1,0)</f>
        <v>0</v>
      </c>
      <c r="Q4" s="49">
        <f>IF(AND(MAX(Q12:$Y$12)&lt;=0.6,P12&gt;0.6,P12&lt;&gt;""),1,0)</f>
        <v>0</v>
      </c>
      <c r="R4" s="49">
        <f>IF(AND(MAX(R12:$Y$12)&lt;=0.6,Q12&gt;0.6,Q12&lt;&gt;""),1,0)</f>
        <v>0</v>
      </c>
      <c r="S4" s="49">
        <f>IF(AND(MAX(S12:$Y$12)&lt;=0.6,R12&gt;0.6,R12&lt;&gt;""),1,0)</f>
        <v>0</v>
      </c>
      <c r="T4" s="49">
        <f>IF(AND(MAX(T12:$Y$12)&lt;=0.6,S12&gt;0.6,S12&lt;&gt;""),1,0)</f>
        <v>0</v>
      </c>
      <c r="U4" s="49">
        <f>IF(AND(MAX(U12:$Y$12)&lt;=0.6,T12&gt;0.6,T12&lt;&gt;""),1,0)</f>
        <v>0</v>
      </c>
      <c r="V4" s="49">
        <f>IF(AND(MAX(V12:$Y$12)&lt;=0.6,U12&gt;0.6,U12&lt;&gt;""),1,0)</f>
        <v>0</v>
      </c>
      <c r="W4" s="49">
        <f>IF(AND(MAX(W12:$Y$12)&lt;=0.6,V12&gt;0.6,V12&lt;&gt;""),1,0)</f>
        <v>0</v>
      </c>
      <c r="X4" s="49">
        <f>IF(AND(MAX(X12:$Y$12)&lt;=0.6,W12&gt;0.6,W12&lt;&gt;""),1,0)</f>
        <v>0</v>
      </c>
      <c r="Y4" s="49">
        <f>IF(AND(MAX(Y12:$Y$12)&lt;=0.6,X12&gt;0.6,X12&lt;&gt;""),1,0)</f>
        <v>0</v>
      </c>
      <c r="AC4" s="190"/>
      <c r="AD4" s="190"/>
    </row>
    <row r="5" spans="1:30">
      <c r="A5" s="5"/>
      <c r="B5" s="17">
        <f>DATE(YEAR(Inputs!B76),MONTH(Inputs!B76),1)</f>
        <v>42917</v>
      </c>
      <c r="C5" s="17">
        <f>DATE(YEAR(B5),MONTH(B5)+1,DAY(B5))</f>
        <v>42948</v>
      </c>
      <c r="D5" s="17">
        <f>DATE(YEAR(C5),MONTH(C5)+1,DAY(C5))</f>
        <v>42979</v>
      </c>
      <c r="E5" s="17">
        <f>DATE(YEAR(D5),MONTH(D5)+1,DAY(D5))</f>
        <v>43009</v>
      </c>
      <c r="F5" s="17">
        <f>DATE(YEAR(E5),MONTH(E5)+1,DAY(E5))</f>
        <v>43040</v>
      </c>
      <c r="G5" s="17">
        <f>DATE(YEAR(F5),MONTH(F5)+1,DAY(F5))</f>
        <v>43070</v>
      </c>
      <c r="H5" s="17">
        <f>DATE(YEAR(G5),MONTH(G5)+1,DAY(G5))</f>
        <v>43101</v>
      </c>
      <c r="I5" s="17">
        <f>DATE(YEAR(H5),MONTH(H5)+1,DAY(H5))</f>
        <v>43132</v>
      </c>
      <c r="J5" s="17">
        <f>DATE(YEAR(I5),MONTH(I5)+1,DAY(I5))</f>
        <v>43160</v>
      </c>
      <c r="K5" s="17">
        <f>DATE(YEAR(J5),MONTH(J5)+1,DAY(J5))</f>
        <v>43191</v>
      </c>
      <c r="L5" s="17">
        <f>DATE(YEAR(K5),MONTH(K5)+1,DAY(K5))</f>
        <v>43221</v>
      </c>
      <c r="M5" s="17">
        <f>DATE(YEAR(L5),MONTH(L5)+1,DAY(L5))</f>
        <v>43252</v>
      </c>
      <c r="N5" s="17">
        <f>DATE(YEAR(M5),MONTH(M5)+1,DAY(M5))</f>
        <v>43282</v>
      </c>
      <c r="O5" s="17">
        <f>DATE(YEAR(N5),MONTH(N5)+1,DAY(N5))</f>
        <v>43313</v>
      </c>
      <c r="P5" s="17">
        <f>DATE(YEAR(O5),MONTH(O5)+1,DAY(O5))</f>
        <v>43344</v>
      </c>
      <c r="Q5" s="17">
        <f>DATE(YEAR(P5),MONTH(P5)+1,DAY(P5))</f>
        <v>43374</v>
      </c>
      <c r="R5" s="17">
        <f>DATE(YEAR(Q5),MONTH(Q5)+1,DAY(Q5))</f>
        <v>43405</v>
      </c>
      <c r="S5" s="17">
        <f>DATE(YEAR(R5),MONTH(R5)+1,DAY(R5))</f>
        <v>43435</v>
      </c>
      <c r="T5" s="17">
        <f>DATE(YEAR(S5),MONTH(S5)+1,DAY(S5))</f>
        <v>43466</v>
      </c>
      <c r="U5" s="17">
        <f>DATE(YEAR(T5),MONTH(T5)+1,DAY(T5))</f>
        <v>43497</v>
      </c>
      <c r="V5" s="17">
        <f>DATE(YEAR(U5),MONTH(U5)+1,DAY(U5))</f>
        <v>43525</v>
      </c>
      <c r="W5" s="17">
        <f>DATE(YEAR(V5),MONTH(V5)+1,DAY(V5))</f>
        <v>43556</v>
      </c>
      <c r="X5" s="17">
        <f>DATE(YEAR(W5),MONTH(W5)+1,DAY(W5))</f>
        <v>43586</v>
      </c>
      <c r="Y5" s="17">
        <f>DATE(YEAR(X5),MONTH(X5)+1,DAY(X5))</f>
        <v>43617</v>
      </c>
      <c r="Z5" s="47" t="s">
        <v>24</v>
      </c>
      <c r="AA5" s="47" t="s">
        <v>25</v>
      </c>
      <c r="AB5" s="47" t="s">
        <v>26</v>
      </c>
      <c r="AC5" s="173">
        <f>DATE(YEAR(Y5),MONTH(Y5)+1,DAY(Y5))</f>
        <v>43647</v>
      </c>
    </row>
    <row r="6" spans="1:30" customHeight="1" ht="15.75">
      <c r="A6" s="50" t="s">
        <v>27</v>
      </c>
      <c r="B6" s="51">
        <f>B30-B88</f>
        <v>12354.29280867784</v>
      </c>
      <c r="C6" s="51">
        <f>C30-C88</f>
        <v>5107.292808677841</v>
      </c>
      <c r="D6" s="51">
        <f>D30-D88</f>
        <v>9410.292808677841</v>
      </c>
      <c r="E6" s="51">
        <f>E30-E88</f>
        <v>9410.292808677841</v>
      </c>
      <c r="F6" s="51">
        <f>F30-F88</f>
        <v>9410.292808677841</v>
      </c>
      <c r="G6" s="51">
        <f>G30-G88</f>
        <v>18198.79280867784</v>
      </c>
      <c r="H6" s="51">
        <f>H30-H88</f>
        <v>12354.29280867784</v>
      </c>
      <c r="I6" s="51">
        <f>I30-I88</f>
        <v>7107.292808677841</v>
      </c>
      <c r="J6" s="51">
        <f>J30-J88</f>
        <v>9410.292808677841</v>
      </c>
      <c r="K6" s="51">
        <f>K30-K88</f>
        <v>9410.292808677841</v>
      </c>
      <c r="L6" s="51">
        <f>L30-L88</f>
        <v>9410.292808677841</v>
      </c>
      <c r="M6" s="51">
        <f>M30-M88</f>
        <v>18198.79280867784</v>
      </c>
      <c r="N6" s="51">
        <f>N30-N88</f>
        <v>12354.29280867784</v>
      </c>
      <c r="O6" s="51">
        <f>O30-O88</f>
        <v>5107.292808677841</v>
      </c>
      <c r="P6" s="51">
        <f>P30-P88</f>
        <v>9410.292808677841</v>
      </c>
      <c r="Q6" s="51">
        <f>Q30-Q88</f>
        <v>9410.292808677841</v>
      </c>
      <c r="R6" s="51">
        <f>R30-R88</f>
        <v>9410.292808677841</v>
      </c>
      <c r="S6" s="51">
        <f>S30-S88</f>
        <v>18198.79280867784</v>
      </c>
      <c r="T6" s="51">
        <f>T30-T88</f>
        <v>12354.29280867784</v>
      </c>
      <c r="U6" s="51">
        <f>U30-U88</f>
        <v>7107.292808677841</v>
      </c>
      <c r="V6" s="51">
        <f>V30-V88</f>
        <v>9410.292808677841</v>
      </c>
      <c r="W6" s="51">
        <f>W30-W88</f>
        <v>9410.292808677841</v>
      </c>
      <c r="X6" s="51">
        <f>X30-X88</f>
        <v>9410.292808677841</v>
      </c>
      <c r="Y6" s="51">
        <f>Y30-Y88</f>
        <v>18198.79280867784</v>
      </c>
      <c r="Z6" s="51">
        <f>SUMIF($B$13:$Y$13,"Yes",B6:Y6)</f>
        <v>142136.8065128119</v>
      </c>
      <c r="AA6" s="51">
        <f>AA30-AA88</f>
        <v>129782.513704134</v>
      </c>
      <c r="AB6" s="51">
        <f>AB30-AB88</f>
        <v>259565.0274082682</v>
      </c>
      <c r="AC6" s="43"/>
      <c r="AD6" s="43"/>
    </row>
    <row r="7" spans="1:30" customHeight="1" ht="15.75">
      <c r="A7" s="43" t="s">
        <v>28</v>
      </c>
      <c r="B7" s="80" t="str">
        <f>IF(ISERROR(VLOOKUP(MONTH(B5),Inputs!$D$66:$D$71,1,0)),"",INDEX(Inputs!$B$66:$B$71,MATCH(MONTH(Output!B5),Inputs!$D$66:$D$71,0))-INDEX(Inputs!$C$66:$C$71,MATCH(MONTH(Output!B5),Inputs!$D$66:$D$71,0)))</f>
        <v/>
      </c>
      <c r="C7" s="80" t="str">
        <f>IF(ISERROR(VLOOKUP(MONTH(C5),Inputs!$D$66:$D$71,1,0)),"",INDEX(Inputs!$B$66:$B$71,MATCH(MONTH(Output!C5),Inputs!$D$66:$D$71,0))-INDEX(Inputs!$C$66:$C$71,MATCH(MONTH(Output!C5),Inputs!$D$66:$D$71,0)))</f>
        <v/>
      </c>
      <c r="D7" s="80" t="str">
        <f>IF(ISERROR(VLOOKUP(MONTH(D5),Inputs!$D$66:$D$71,1,0)),"",INDEX(Inputs!$B$66:$B$71,MATCH(MONTH(Output!D5),Inputs!$D$66:$D$71,0))-INDEX(Inputs!$C$66:$C$71,MATCH(MONTH(Output!D5),Inputs!$D$66:$D$71,0)))</f>
        <v/>
      </c>
      <c r="E7" s="80" t="str">
        <f>IF(ISERROR(VLOOKUP(MONTH(E5),Inputs!$D$66:$D$71,1,0)),"",INDEX(Inputs!$B$66:$B$71,MATCH(MONTH(Output!E5),Inputs!$D$66:$D$71,0))-INDEX(Inputs!$C$66:$C$71,MATCH(MONTH(Output!E5),Inputs!$D$66:$D$71,0)))</f>
        <v/>
      </c>
      <c r="F7" s="80" t="str">
        <f>IF(ISERROR(VLOOKUP(MONTH(F5),Inputs!$D$66:$D$71,1,0)),"",INDEX(Inputs!$B$66:$B$71,MATCH(MONTH(Output!F5),Inputs!$D$66:$D$71,0))-INDEX(Inputs!$C$66:$C$71,MATCH(MONTH(Output!F5),Inputs!$D$66:$D$71,0)))</f>
        <v/>
      </c>
      <c r="G7" s="80" t="str">
        <f>IF(ISERROR(VLOOKUP(MONTH(G5),Inputs!$D$66:$D$71,1,0)),"",INDEX(Inputs!$B$66:$B$71,MATCH(MONTH(Output!G5),Inputs!$D$66:$D$71,0))-INDEX(Inputs!$C$66:$C$71,MATCH(MONTH(Output!G5),Inputs!$D$66:$D$71,0)))</f>
        <v/>
      </c>
      <c r="H7" s="80">
        <f>IF(ISERROR(VLOOKUP(MONTH(H5),Inputs!$D$66:$D$71,1,0)),"",INDEX(Inputs!$B$66:$B$71,MATCH(MONTH(Output!H5),Inputs!$D$66:$D$71,0))-INDEX(Inputs!$C$66:$C$71,MATCH(MONTH(Output!H5),Inputs!$D$66:$D$71,0)))</f>
        <v>16300</v>
      </c>
      <c r="I7" s="80">
        <f>IF(ISERROR(VLOOKUP(MONTH(I5),Inputs!$D$66:$D$71,1,0)),"",INDEX(Inputs!$B$66:$B$71,MATCH(MONTH(Output!I5),Inputs!$D$66:$D$71,0))-INDEX(Inputs!$C$66:$C$71,MATCH(MONTH(Output!I5),Inputs!$D$66:$D$71,0)))</f>
        <v>20000</v>
      </c>
      <c r="J7" s="80">
        <f>IF(ISERROR(VLOOKUP(MONTH(J5),Inputs!$D$66:$D$71,1,0)),"",INDEX(Inputs!$B$66:$B$71,MATCH(MONTH(Output!J5),Inputs!$D$66:$D$71,0))-INDEX(Inputs!$C$66:$C$71,MATCH(MONTH(Output!J5),Inputs!$D$66:$D$71,0)))</f>
        <v>17900</v>
      </c>
      <c r="K7" s="80">
        <f>IF(ISERROR(VLOOKUP(MONTH(K5),Inputs!$D$66:$D$71,1,0)),"",INDEX(Inputs!$B$66:$B$71,MATCH(MONTH(Output!K5),Inputs!$D$66:$D$71,0))-INDEX(Inputs!$C$66:$C$71,MATCH(MONTH(Output!K5),Inputs!$D$66:$D$71,0)))</f>
        <v>14000</v>
      </c>
      <c r="L7" s="80">
        <f>IF(ISERROR(VLOOKUP(MONTH(L5),Inputs!$D$66:$D$71,1,0)),"",INDEX(Inputs!$B$66:$B$71,MATCH(MONTH(Output!L5),Inputs!$D$66:$D$71,0))-INDEX(Inputs!$C$66:$C$71,MATCH(MONTH(Output!L5),Inputs!$D$66:$D$71,0)))</f>
        <v>25000</v>
      </c>
      <c r="M7" s="80">
        <f>IF(ISERROR(VLOOKUP(MONTH(M5),Inputs!$D$66:$D$71,1,0)),"",INDEX(Inputs!$B$66:$B$71,MATCH(MONTH(Output!M5),Inputs!$D$66:$D$71,0))-INDEX(Inputs!$C$66:$C$71,MATCH(MONTH(Output!M5),Inputs!$D$66:$D$71,0)))</f>
        <v>26500</v>
      </c>
      <c r="N7" s="80" t="str">
        <f>IF(ISERROR(VLOOKUP(MONTH(N5),Inputs!$D$66:$D$71,1,0)),"",INDEX(Inputs!$B$66:$B$71,MATCH(MONTH(Output!N5),Inputs!$D$66:$D$71,0))-INDEX(Inputs!$C$66:$C$71,MATCH(MONTH(Output!N5),Inputs!$D$66:$D$71,0)))</f>
        <v/>
      </c>
      <c r="O7" s="80" t="str">
        <f>IF(ISERROR(VLOOKUP(MONTH(O5),Inputs!$D$66:$D$71,1,0)),"",INDEX(Inputs!$B$66:$B$71,MATCH(MONTH(Output!O5),Inputs!$D$66:$D$71,0))-INDEX(Inputs!$C$66:$C$71,MATCH(MONTH(Output!O5),Inputs!$D$66:$D$71,0)))</f>
        <v/>
      </c>
      <c r="P7" s="80" t="str">
        <f>IF(ISERROR(VLOOKUP(MONTH(P5),Inputs!$D$66:$D$71,1,0)),"",INDEX(Inputs!$B$66:$B$71,MATCH(MONTH(Output!P5),Inputs!$D$66:$D$71,0))-INDEX(Inputs!$C$66:$C$71,MATCH(MONTH(Output!P5),Inputs!$D$66:$D$71,0)))</f>
        <v/>
      </c>
      <c r="Q7" s="80" t="str">
        <f>IF(ISERROR(VLOOKUP(MONTH(Q5),Inputs!$D$66:$D$71,1,0)),"",INDEX(Inputs!$B$66:$B$71,MATCH(MONTH(Output!Q5),Inputs!$D$66:$D$71,0))-INDEX(Inputs!$C$66:$C$71,MATCH(MONTH(Output!Q5),Inputs!$D$66:$D$71,0)))</f>
        <v/>
      </c>
      <c r="R7" s="80" t="str">
        <f>IF(ISERROR(VLOOKUP(MONTH(R5),Inputs!$D$66:$D$71,1,0)),"",INDEX(Inputs!$B$66:$B$71,MATCH(MONTH(Output!R5),Inputs!$D$66:$D$71,0))-INDEX(Inputs!$C$66:$C$71,MATCH(MONTH(Output!R5),Inputs!$D$66:$D$71,0)))</f>
        <v/>
      </c>
      <c r="S7" s="80" t="str">
        <f>IF(ISERROR(VLOOKUP(MONTH(S5),Inputs!$D$66:$D$71,1,0)),"",INDEX(Inputs!$B$66:$B$71,MATCH(MONTH(Output!S5),Inputs!$D$66:$D$71,0))-INDEX(Inputs!$C$66:$C$71,MATCH(MONTH(Output!S5),Inputs!$D$66:$D$71,0)))</f>
        <v/>
      </c>
      <c r="T7" s="80">
        <f>IF(ISERROR(VLOOKUP(MONTH(T5),Inputs!$D$66:$D$71,1,0)),"",INDEX(Inputs!$B$66:$B$71,MATCH(MONTH(Output!T5),Inputs!$D$66:$D$71,0))-INDEX(Inputs!$C$66:$C$71,MATCH(MONTH(Output!T5),Inputs!$D$66:$D$71,0)))</f>
        <v>16300</v>
      </c>
      <c r="U7" s="80">
        <f>IF(ISERROR(VLOOKUP(MONTH(U5),Inputs!$D$66:$D$71,1,0)),"",INDEX(Inputs!$B$66:$B$71,MATCH(MONTH(Output!U5),Inputs!$D$66:$D$71,0))-INDEX(Inputs!$C$66:$C$71,MATCH(MONTH(Output!U5),Inputs!$D$66:$D$71,0)))</f>
        <v>20000</v>
      </c>
      <c r="V7" s="80">
        <f>IF(ISERROR(VLOOKUP(MONTH(V5),Inputs!$D$66:$D$71,1,0)),"",INDEX(Inputs!$B$66:$B$71,MATCH(MONTH(Output!V5),Inputs!$D$66:$D$71,0))-INDEX(Inputs!$C$66:$C$71,MATCH(MONTH(Output!V5),Inputs!$D$66:$D$71,0)))</f>
        <v>17900</v>
      </c>
      <c r="W7" s="80">
        <f>IF(ISERROR(VLOOKUP(MONTH(W5),Inputs!$D$66:$D$71,1,0)),"",INDEX(Inputs!$B$66:$B$71,MATCH(MONTH(Output!W5),Inputs!$D$66:$D$71,0))-INDEX(Inputs!$C$66:$C$71,MATCH(MONTH(Output!W5),Inputs!$D$66:$D$71,0)))</f>
        <v>14000</v>
      </c>
      <c r="X7" s="80">
        <f>IF(ISERROR(VLOOKUP(MONTH(X5),Inputs!$D$66:$D$71,1,0)),"",INDEX(Inputs!$B$66:$B$71,MATCH(MONTH(Output!X5),Inputs!$D$66:$D$71,0))-INDEX(Inputs!$C$66:$C$71,MATCH(MONTH(Output!X5),Inputs!$D$66:$D$71,0)))</f>
        <v>25000</v>
      </c>
      <c r="Y7" s="80">
        <f>IF(ISERROR(VLOOKUP(MONTH(Y5),Inputs!$D$66:$D$71,1,0)),"",INDEX(Inputs!$B$66:$B$71,MATCH(MONTH(Output!Y5),Inputs!$D$66:$D$71,0))-INDEX(Inputs!$C$66:$C$71,MATCH(MONTH(Output!Y5),Inputs!$D$66:$D$71,0)))</f>
        <v>26500</v>
      </c>
      <c r="Z7" s="80"/>
      <c r="AA7" s="80"/>
      <c r="AB7" s="80"/>
      <c r="AC7" s="43"/>
      <c r="AD7" s="43"/>
    </row>
    <row r="8" spans="1:30" customHeight="1" ht="9.75">
      <c r="A8" s="43"/>
      <c r="B8" s="80"/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43"/>
      <c r="AD8" s="43"/>
    </row>
    <row r="9" spans="1:30">
      <c r="A9" s="84" t="s">
        <v>29</v>
      </c>
      <c r="B9" s="75">
        <f>IFERROR(IF(AND(MONTH(B5)=MONTH(Calculations!$G$33),YEAR(B5)=YEAR(Calculations!$G$33)),Calculations!$G$35,0),0)</f>
        <v>100000</v>
      </c>
      <c r="C9" s="75">
        <f>IFERROR(IF(AND(MONTH(C5)=MONTH(Calculations!$G$33),YEAR(C5)=YEAR(Calculations!$G$33)),Calculations!$G$35,0),0)</f>
        <v>0</v>
      </c>
      <c r="D9" s="75">
        <f>IFERROR(IF(AND(MONTH(D5)=MONTH(Calculations!$G$33),YEAR(D5)=YEAR(Calculations!$G$33)),Calculations!$G$35,0),0)</f>
        <v>0</v>
      </c>
      <c r="E9" s="75">
        <f>IFERROR(IF(AND(MONTH(E5)=MONTH(Calculations!$G$33),YEAR(E5)=YEAR(Calculations!$G$33)),Calculations!$G$35,0),0)</f>
        <v>0</v>
      </c>
      <c r="F9" s="75">
        <f>IFERROR(IF(AND(MONTH(F5)=MONTH(Calculations!$G$33),YEAR(F5)=YEAR(Calculations!$G$33)),Calculations!$G$35,0),0)</f>
        <v>0</v>
      </c>
      <c r="G9" s="75">
        <f>IFERROR(IF(AND(MONTH(G5)=MONTH(Calculations!$G$33),YEAR(G5)=YEAR(Calculations!$G$33)),Calculations!$G$35,0),0)</f>
        <v>0</v>
      </c>
      <c r="H9" s="75">
        <f>IFERROR(IF(AND(MONTH(H5)=MONTH(Calculations!$G$33),YEAR(H5)=YEAR(Calculations!$G$33)),Calculations!$G$35,0),0)</f>
        <v>0</v>
      </c>
      <c r="I9" s="75">
        <f>IFERROR(IF(AND(MONTH(I5)=MONTH(Calculations!$G$33),YEAR(I5)=YEAR(Calculations!$G$33)),Calculations!$G$35,0),0)</f>
        <v>0</v>
      </c>
      <c r="J9" s="75">
        <f>IFERROR(IF(AND(MONTH(J5)=MONTH(Calculations!$G$33),YEAR(J5)=YEAR(Calculations!$G$33)),Calculations!$G$35,0),0)</f>
        <v>0</v>
      </c>
      <c r="K9" s="75">
        <f>IFERROR(IF(AND(MONTH(K5)=MONTH(Calculations!$G$33),YEAR(K5)=YEAR(Calculations!$G$33)),Calculations!$G$35,0),0)</f>
        <v>0</v>
      </c>
      <c r="L9" s="75">
        <f>IFERROR(IF(AND(MONTH(L5)=MONTH(Calculations!$G$33),YEAR(L5)=YEAR(Calculations!$G$33)),Calculations!$G$35,0),0)</f>
        <v>0</v>
      </c>
      <c r="M9" s="75">
        <f>IFERROR(IF(AND(MONTH(M5)=MONTH(Calculations!$G$33),YEAR(M5)=YEAR(Calculations!$G$33)),Calculations!$G$35,0),0)</f>
        <v>0</v>
      </c>
      <c r="N9" s="75">
        <f>IFERROR(IF(AND(MONTH(N5)=MONTH(Calculations!$G$33),YEAR(N5)=YEAR(Calculations!$G$33)),Calculations!$G$35,0),0)</f>
        <v>0</v>
      </c>
      <c r="O9" s="75">
        <f>IFERROR(IF(AND(MONTH(O5)=MONTH(Calculations!$G$33),YEAR(O5)=YEAR(Calculations!$G$33)),Calculations!$G$35,0),0)</f>
        <v>0</v>
      </c>
      <c r="P9" s="75">
        <f>IFERROR(IF(AND(MONTH(P5)=MONTH(Calculations!$G$33),YEAR(P5)=YEAR(Calculations!$G$33)),Calculations!$G$35,0),0)</f>
        <v>0</v>
      </c>
      <c r="Q9" s="75">
        <f>IFERROR(IF(AND(MONTH(Q5)=MONTH(Calculations!$G$33),YEAR(Q5)=YEAR(Calculations!$G$33)),Calculations!$G$35,0),0)</f>
        <v>0</v>
      </c>
      <c r="R9" s="75">
        <f>IFERROR(IF(AND(MONTH(R5)=MONTH(Calculations!$G$33),YEAR(R5)=YEAR(Calculations!$G$33)),Calculations!$G$35,0),0)</f>
        <v>0</v>
      </c>
      <c r="S9" s="75">
        <f>IFERROR(IF(AND(MONTH(S5)=MONTH(Calculations!$G$33),YEAR(S5)=YEAR(Calculations!$G$33)),Calculations!$G$35,0),0)</f>
        <v>0</v>
      </c>
      <c r="T9" s="75">
        <f>IFERROR(IF(AND(MONTH(T5)=MONTH(Calculations!$G$33),YEAR(T5)=YEAR(Calculations!$G$33)),Calculations!$G$35,0),0)</f>
        <v>0</v>
      </c>
      <c r="U9" s="75">
        <f>IFERROR(IF(AND(MONTH(U5)=MONTH(Calculations!$G$33),YEAR(U5)=YEAR(Calculations!$G$33)),Calculations!$G$35,0),0)</f>
        <v>0</v>
      </c>
      <c r="V9" s="75">
        <f>IFERROR(IF(AND(MONTH(V5)=MONTH(Calculations!$G$33),YEAR(V5)=YEAR(Calculations!$G$33)),Calculations!$G$35,0),0)</f>
        <v>0</v>
      </c>
      <c r="W9" s="75">
        <f>IFERROR(IF(AND(MONTH(W5)=MONTH(Calculations!$G$33),YEAR(W5)=YEAR(Calculations!$G$33)),Calculations!$G$35,0),0)</f>
        <v>0</v>
      </c>
      <c r="X9" s="75">
        <f>IFERROR(IF(AND(MONTH(X5)=MONTH(Calculations!$G$33),YEAR(X5)=YEAR(Calculations!$G$33)),Calculations!$G$35,0),0)</f>
        <v>0</v>
      </c>
      <c r="Y9" s="75">
        <f>IFERROR(IF(AND(MONTH(Y5)=MONTH(Calculations!$G$33),YEAR(Y5)=YEAR(Calculations!$G$33)),Calculations!$G$35,0),0)</f>
        <v>0</v>
      </c>
      <c r="Z9" s="75">
        <f>SUMIF($B$13:$Y$13,"Yes",B9:Y9)</f>
        <v>100000</v>
      </c>
      <c r="AA9" s="75">
        <f>SUM(B9:M9)</f>
        <v>100000</v>
      </c>
      <c r="AB9" s="75">
        <f>SUM(B9:Y9)</f>
        <v>100000</v>
      </c>
      <c r="AC9" s="43"/>
      <c r="AD9" s="43"/>
    </row>
    <row r="10" spans="1:30" customHeight="1" ht="15.75" s="43" customFormat="1">
      <c r="A10" s="18" t="s">
        <v>30</v>
      </c>
      <c r="B10" s="37">
        <f>SUMPRODUCT((Calculations!$D$33:$D$84=Output!B5)+0,Calculations!$C$33:$C$84)</f>
        <v>0</v>
      </c>
      <c r="C10" s="37">
        <f>SUMPRODUCT((Calculations!$D$33:$D$84=Output!C5)+0,Calculations!$C$33:$C$84)</f>
        <v>10000</v>
      </c>
      <c r="D10" s="37">
        <f>SUMPRODUCT((Calculations!$D$33:$D$84=Output!D5)+0,Calculations!$C$33:$C$84)</f>
        <v>10000</v>
      </c>
      <c r="E10" s="37">
        <f>SUMPRODUCT((Calculations!$D$33:$D$84=Output!E5)+0,Calculations!$C$33:$C$84)</f>
        <v>10000</v>
      </c>
      <c r="F10" s="37">
        <f>SUMPRODUCT((Calculations!$D$33:$D$84=Output!F5)+0,Calculations!$C$33:$C$84)</f>
        <v>10000</v>
      </c>
      <c r="G10" s="37">
        <f>SUMPRODUCT((Calculations!$D$33:$D$84=Output!G5)+0,Calculations!$C$33:$C$84)</f>
        <v>10000</v>
      </c>
      <c r="H10" s="37">
        <f>SUMPRODUCT((Calculations!$D$33:$D$84=Output!H5)+0,Calculations!$C$33:$C$84)</f>
        <v>10000</v>
      </c>
      <c r="I10" s="37">
        <f>SUMPRODUCT((Calculations!$D$33:$D$84=Output!I5)+0,Calculations!$C$33:$C$84)</f>
        <v>10000</v>
      </c>
      <c r="J10" s="37">
        <f>SUMPRODUCT((Calculations!$D$33:$D$84=Output!J5)+0,Calculations!$C$33:$C$84)</f>
        <v>10000</v>
      </c>
      <c r="K10" s="37">
        <f>SUMPRODUCT((Calculations!$D$33:$D$84=Output!K5)+0,Calculations!$C$33:$C$84)</f>
        <v>10000</v>
      </c>
      <c r="L10" s="37">
        <f>SUMPRODUCT((Calculations!$D$33:$D$84=Output!L5)+0,Calculations!$C$33:$C$84)</f>
        <v>10000</v>
      </c>
      <c r="M10" s="37">
        <f>SUMPRODUCT((Calculations!$D$33:$D$84=Output!M5)+0,Calculations!$C$33:$C$84)</f>
        <v>10000</v>
      </c>
      <c r="N10" s="37">
        <f>SUMPRODUCT((Calculations!$D$33:$D$84=Output!N5)+0,Calculations!$C$33:$C$84)</f>
        <v>10000</v>
      </c>
      <c r="O10" s="37">
        <f>SUMPRODUCT((Calculations!$D$33:$D$84=Output!O5)+0,Calculations!$C$33:$C$84)</f>
        <v>0</v>
      </c>
      <c r="P10" s="37">
        <f>SUMPRODUCT((Calculations!$D$33:$D$84=Output!P5)+0,Calculations!$C$33:$C$84)</f>
        <v>0</v>
      </c>
      <c r="Q10" s="37">
        <f>SUMPRODUCT((Calculations!$D$33:$D$84=Output!Q5)+0,Calculations!$C$33:$C$84)</f>
        <v>0</v>
      </c>
      <c r="R10" s="37">
        <f>SUMPRODUCT((Calculations!$D$33:$D$84=Output!R5)+0,Calculations!$C$33:$C$84)</f>
        <v>0</v>
      </c>
      <c r="S10" s="37">
        <f>SUMPRODUCT((Calculations!$D$33:$D$84=Output!S5)+0,Calculations!$C$33:$C$84)</f>
        <v>0</v>
      </c>
      <c r="T10" s="37">
        <f>SUMPRODUCT((Calculations!$D$33:$D$84=Output!T5)+0,Calculations!$C$33:$C$84)</f>
        <v>0</v>
      </c>
      <c r="U10" s="37">
        <f>SUMPRODUCT((Calculations!$D$33:$D$84=Output!U5)+0,Calculations!$C$33:$C$84)</f>
        <v>0</v>
      </c>
      <c r="V10" s="37">
        <f>SUMPRODUCT((Calculations!$D$33:$D$84=Output!V5)+0,Calculations!$C$33:$C$84)</f>
        <v>0</v>
      </c>
      <c r="W10" s="37">
        <f>SUMPRODUCT((Calculations!$D$33:$D$84=Output!W5)+0,Calculations!$C$33:$C$84)</f>
        <v>0</v>
      </c>
      <c r="X10" s="37">
        <f>SUMPRODUCT((Calculations!$D$33:$D$84=Output!X5)+0,Calculations!$C$33:$C$84)</f>
        <v>0</v>
      </c>
      <c r="Y10" s="37">
        <f>SUMPRODUCT((Calculations!$D$33:$D$84=Output!Y5)+0,Calculations!$C$33:$C$84)</f>
        <v>0</v>
      </c>
      <c r="Z10" s="37">
        <f>SUMIF($B$13:$Y$13,"Yes",B10:Y10)</f>
        <v>120000</v>
      </c>
      <c r="AA10" s="37">
        <f>SUM(B10:M10)</f>
        <v>110000</v>
      </c>
      <c r="AB10" s="37">
        <f>SUM(B10:Y10)</f>
        <v>120000</v>
      </c>
    </row>
    <row r="11" spans="1:30" customHeight="1" ht="15.75">
      <c r="A11" s="43" t="s">
        <v>31</v>
      </c>
      <c r="B11" s="80">
        <f>B6+B9-B10</f>
        <v>112354.2928086778</v>
      </c>
      <c r="C11" s="80">
        <f>C6+C9-C10</f>
        <v>-4892.707191322159</v>
      </c>
      <c r="D11" s="80">
        <f>D6+D9-D10</f>
        <v>-589.7071913221589</v>
      </c>
      <c r="E11" s="80">
        <f>E6+E9-E10</f>
        <v>-589.7071913221589</v>
      </c>
      <c r="F11" s="80">
        <f>F6+F9-F10</f>
        <v>-589.7071913221589</v>
      </c>
      <c r="G11" s="80">
        <f>G6+G9-G10</f>
        <v>8198.792808677841</v>
      </c>
      <c r="H11" s="80">
        <f>H6+H9-H10</f>
        <v>2354.292808677843</v>
      </c>
      <c r="I11" s="80">
        <f>I6+I9-I10</f>
        <v>-2892.707191322159</v>
      </c>
      <c r="J11" s="80">
        <f>J6+J9-J10</f>
        <v>-589.7071913221589</v>
      </c>
      <c r="K11" s="80">
        <f>K6+K9-K10</f>
        <v>-589.7071913221589</v>
      </c>
      <c r="L11" s="80">
        <f>L6+L9-L10</f>
        <v>-589.7071913221589</v>
      </c>
      <c r="M11" s="80">
        <f>M6+M9-M10</f>
        <v>8198.792808677841</v>
      </c>
      <c r="N11" s="80">
        <f>N6+N9-N10</f>
        <v>2354.292808677843</v>
      </c>
      <c r="O11" s="80">
        <f>O6+O9-O10</f>
        <v>5107.292808677841</v>
      </c>
      <c r="P11" s="80">
        <f>P6+P9-P10</f>
        <v>9410.292808677841</v>
      </c>
      <c r="Q11" s="80">
        <f>Q6+Q9-Q10</f>
        <v>9410.292808677841</v>
      </c>
      <c r="R11" s="80">
        <f>R6+R9-R10</f>
        <v>9410.292808677841</v>
      </c>
      <c r="S11" s="80">
        <f>S6+S9-S10</f>
        <v>18198.79280867784</v>
      </c>
      <c r="T11" s="80">
        <f>T6+T9-T10</f>
        <v>12354.29280867784</v>
      </c>
      <c r="U11" s="80">
        <f>U6+U9-U10</f>
        <v>7107.292808677841</v>
      </c>
      <c r="V11" s="80">
        <f>V6+V9-V10</f>
        <v>9410.292808677841</v>
      </c>
      <c r="W11" s="80">
        <f>W6+W9-W10</f>
        <v>9410.292808677841</v>
      </c>
      <c r="X11" s="80">
        <f>X6+X9-X10</f>
        <v>9410.292808677841</v>
      </c>
      <c r="Y11" s="80">
        <f>Y6+Y9-Y10</f>
        <v>18198.79280867784</v>
      </c>
      <c r="Z11" s="85">
        <f>SUMIF($B$13:$Y$13,"Yes",B11:Y11)</f>
        <v>122136.8065128119</v>
      </c>
      <c r="AA11" s="80">
        <f>SUM(B11:M11)</f>
        <v>119782.5137041341</v>
      </c>
      <c r="AB11" s="46">
        <f>SUM(B11:Y11)</f>
        <v>239565.0274082681</v>
      </c>
      <c r="AC11" s="43"/>
      <c r="AD11" s="43"/>
    </row>
    <row r="12" spans="1:30" s="43" customFormat="1">
      <c r="A12" s="81" t="s">
        <v>32</v>
      </c>
      <c r="B12" s="82">
        <f>IF(B13="Yes",IF(SUM($B$10:B10)/(SUM($B$6:B6)+SUM($B$9:B9))&lt;0,999.99,SUM($B$10:B10)/(SUM($B$6:B6)+SUM($B$9:B9))),"")</f>
        <v>0</v>
      </c>
      <c r="C12" s="82">
        <f>IF(C13="Yes",IF(SUM($B$10:C10)/(SUM($B$6:C6)+SUM($B$9:C9))&lt;0,999.99,SUM($B$10:C10)/(SUM($B$6:C6)+SUM($B$9:C9))),"")</f>
        <v>0.085134215985949</v>
      </c>
      <c r="D12" s="82">
        <f>IF(D13="Yes",IF(SUM($B$10:D10)/(SUM($B$6:D6)+SUM($B$9:D9))&lt;0,999.99,SUM($B$10:D10)/(SUM($B$6:D6)+SUM($B$9:D9))),"")</f>
        <v>0.1576393464660494</v>
      </c>
      <c r="E12" s="82">
        <f>IF(E13="Yes",IF(SUM($B$10:E10)/(SUM($B$6:E6)+SUM($B$9:E9))&lt;0,999.99,SUM($B$10:E10)/(SUM($B$6:E6)+SUM($B$9:E9))),"")</f>
        <v>0.2201315089728988</v>
      </c>
      <c r="F12" s="82">
        <f>IF(F13="Yes",IF(SUM($B$10:F10)/(SUM($B$6:F6)+SUM($B$9:F9))&lt;0,999.99,SUM($B$10:F10)/(SUM($B$6:F6)+SUM($B$9:F9))),"")</f>
        <v>0.2745509197242176</v>
      </c>
      <c r="G12" s="82">
        <f>IF(G13="Yes",IF(SUM($B$10:G10)/(SUM($B$6:G6)+SUM($B$9:G9))&lt;0,999.99,SUM($B$10:G10)/(SUM($B$6:G6)+SUM($B$9:G9))),"")</f>
        <v>0.3050803377823347</v>
      </c>
      <c r="H12" s="82">
        <f>IF(H13="Yes",IF(SUM($B$10:H10)/(SUM($B$6:H6)+SUM($B$9:H9))&lt;0,999.99,SUM($B$10:H10)/(SUM($B$6:H6)+SUM($B$9:H9))),"")</f>
        <v>0.3404341279283024</v>
      </c>
      <c r="I12" s="82">
        <f>IF(I13="Yes",IF(SUM($B$10:I10)/(SUM($B$6:I6)+SUM($B$9:I9))&lt;0,999.99,SUM($B$10:I10)/(SUM($B$6:I6)+SUM($B$9:I9))),"")</f>
        <v>0.3817775555438892</v>
      </c>
      <c r="J12" s="82">
        <f>IF(J13="Yes",IF(SUM($B$10:J10)/(SUM($B$6:J6)+SUM($B$9:J9))&lt;0,999.99,SUM($B$10:J10)/(SUM($B$6:J6)+SUM($B$9:J9))),"")</f>
        <v>0.4150171135398037</v>
      </c>
      <c r="K12" s="82">
        <f>IF(K13="Yes",IF(SUM($B$10:K10)/(SUM($B$6:K6)+SUM($B$9:K9))&lt;0,999.99,SUM($B$10:K10)/(SUM($B$6:K6)+SUM($B$9:K9))),"")</f>
        <v>0.4451623581382293</v>
      </c>
      <c r="L12" s="82">
        <f>IF(L13="Yes",IF(SUM($B$10:L10)/(SUM($B$6:L6)+SUM($B$9:L9))&lt;0,999.99,SUM($B$10:L10)/(SUM($B$6:L6)+SUM($B$9:L9))),"")</f>
        <v>0.4726261527908855</v>
      </c>
      <c r="M12" s="82">
        <f>IF(M13="Yes",IF(SUM($B$10:M10)/(SUM($B$6:M6)+SUM($B$9:M9))&lt;0,999.99,SUM($B$10:M10)/(SUM($B$6:M6)+SUM($B$9:M9))),"")</f>
        <v>0.4787135375393927</v>
      </c>
      <c r="N12" s="82">
        <f>IF(N13="Yes",IF(SUM($B$10:N10)/(SUM($B$6:N6)+SUM($B$9:N9))&lt;0,999.99,SUM($B$10:N10)/(SUM($B$6:N6)+SUM($B$9:N9))),"")</f>
        <v>0.4955876049090065</v>
      </c>
      <c r="O12" s="82" t="str">
        <f>IF(O13="Yes",IF(SUM($B$10:O10)/(SUM($B$6:O6)+SUM($B$9:O9))&lt;0,999.99,SUM($B$10:O10)/(SUM($B$6:O6)+SUM($B$9:O9))),"")</f>
        <v/>
      </c>
      <c r="P12" s="82" t="str">
        <f>IF(P13="Yes",IF(SUM($B$10:P10)/(SUM($B$6:P6)+SUM($B$9:P9))&lt;0,999.99,SUM($B$10:P10)/(SUM($B$6:P6)+SUM($B$9:P9))),"")</f>
        <v/>
      </c>
      <c r="Q12" s="82" t="str">
        <f>IF(Q13="Yes",IF(SUM($B$10:Q10)/(SUM($B$6:Q6)+SUM($B$9:Q9))&lt;0,999.99,SUM($B$10:Q10)/(SUM($B$6:Q6)+SUM($B$9:Q9))),"")</f>
        <v/>
      </c>
      <c r="R12" s="82" t="str">
        <f>IF(R13="Yes",IF(SUM($B$10:R10)/(SUM($B$6:R6)+SUM($B$9:R9))&lt;0,999.99,SUM($B$10:R10)/(SUM($B$6:R6)+SUM($B$9:R9))),"")</f>
        <v/>
      </c>
      <c r="S12" s="82" t="str">
        <f>IF(S13="Yes",IF(SUM($B$10:S10)/(SUM($B$6:S6)+SUM($B$9:S9))&lt;0,999.99,SUM($B$10:S10)/(SUM($B$6:S6)+SUM($B$9:S9))),"")</f>
        <v/>
      </c>
      <c r="T12" s="82" t="str">
        <f>IF(T13="Yes",IF(SUM($B$10:T10)/(SUM($B$6:T6)+SUM($B$9:T9))&lt;0,999.99,SUM($B$10:T10)/(SUM($B$6:T6)+SUM($B$9:T9))),"")</f>
        <v/>
      </c>
      <c r="U12" s="82" t="str">
        <f>IF(U13="Yes",IF(SUM($B$10:U10)/(SUM($B$6:U6)+SUM($B$9:U9))&lt;0,999.99,SUM($B$10:U10)/(SUM($B$6:U6)+SUM($B$9:U9))),"")</f>
        <v/>
      </c>
      <c r="V12" s="82" t="str">
        <f>IF(V13="Yes",IF(SUM($B$10:V10)/(SUM($B$6:V6)+SUM($B$9:V9))&lt;0,999.99,SUM($B$10:V10)/(SUM($B$6:V6)+SUM($B$9:V9))),"")</f>
        <v/>
      </c>
      <c r="W12" s="82" t="str">
        <f>IF(W13="Yes",IF(SUM($B$10:W10)/(SUM($B$6:W6)+SUM($B$9:W9))&lt;0,999.99,SUM($B$10:W10)/(SUM($B$6:W6)+SUM($B$9:W9))),"")</f>
        <v/>
      </c>
      <c r="X12" s="82" t="str">
        <f>IF(X13="Yes",IF(SUM($B$10:X10)/(SUM($B$6:X6)+SUM($B$9:X9))&lt;0,999.99,SUM($B$10:X10)/(SUM($B$6:X6)+SUM($B$9:X9))),"")</f>
        <v/>
      </c>
      <c r="Y12" s="82" t="str">
        <f>IF(Y13="Yes",IF(SUM($B$10:Y10)/(SUM($B$6:Y6)+SUM($B$9:Y9))&lt;0,999.99,SUM($B$10:Y10)/(SUM($B$6:Y6)+SUM($B$9:Y9))),"")</f>
        <v/>
      </c>
      <c r="Z12" s="82"/>
      <c r="AA12" s="82"/>
      <c r="AB12" s="83"/>
    </row>
    <row r="13" spans="1:30" s="186" customFormat="1">
      <c r="A13" s="182" t="s">
        <v>33</v>
      </c>
      <c r="B13" s="183" t="str">
        <f>IF(SUM(B9:$Y$10)&gt;0,"Yes","No")</f>
        <v>Yes</v>
      </c>
      <c r="C13" s="183" t="str">
        <f>IF(SUM(C9:$Y$10)&gt;0,"Yes","No")</f>
        <v>Yes</v>
      </c>
      <c r="D13" s="183" t="str">
        <f>IF(SUM(D9:$Y$10)&gt;0,"Yes","No")</f>
        <v>Yes</v>
      </c>
      <c r="E13" s="183" t="str">
        <f>IF(SUM(E9:$Y$10)&gt;0,"Yes","No")</f>
        <v>Yes</v>
      </c>
      <c r="F13" s="183" t="str">
        <f>IF(SUM(F9:$Y$10)&gt;0,"Yes","No")</f>
        <v>Yes</v>
      </c>
      <c r="G13" s="183" t="str">
        <f>IF(SUM(G9:$Y$10)&gt;0,"Yes","No")</f>
        <v>Yes</v>
      </c>
      <c r="H13" s="183" t="str">
        <f>IF(SUM(H9:$Y$10)&gt;0,"Yes","No")</f>
        <v>Yes</v>
      </c>
      <c r="I13" s="183" t="str">
        <f>IF(SUM(I9:$Y$10)&gt;0,"Yes","No")</f>
        <v>Yes</v>
      </c>
      <c r="J13" s="183" t="str">
        <f>IF(SUM(J9:$Y$10)&gt;0,"Yes","No")</f>
        <v>Yes</v>
      </c>
      <c r="K13" s="183" t="str">
        <f>IF(SUM(K9:$Y$10)&gt;0,"Yes","No")</f>
        <v>Yes</v>
      </c>
      <c r="L13" s="183" t="str">
        <f>IF(SUM(L9:$Y$10)&gt;0,"Yes","No")</f>
        <v>Yes</v>
      </c>
      <c r="M13" s="183" t="str">
        <f>IF(SUM(M9:$Y$10)&gt;0,"Yes","No")</f>
        <v>Yes</v>
      </c>
      <c r="N13" s="183" t="str">
        <f>IF(SUM(N9:$Y$10)&gt;0,"Yes","No")</f>
        <v>Yes</v>
      </c>
      <c r="O13" s="183" t="str">
        <f>IF(SUM(O9:$Y$10)&gt;0,"Yes","No")</f>
        <v>No</v>
      </c>
      <c r="P13" s="183" t="str">
        <f>IF(SUM(P9:$Y$10)&gt;0,"Yes","No")</f>
        <v>No</v>
      </c>
      <c r="Q13" s="183" t="str">
        <f>IF(SUM(Q9:$Y$10)&gt;0,"Yes","No")</f>
        <v>No</v>
      </c>
      <c r="R13" s="183" t="str">
        <f>IF(SUM(R9:$Y$10)&gt;0,"Yes","No")</f>
        <v>No</v>
      </c>
      <c r="S13" s="183" t="str">
        <f>IF(SUM(S9:$Y$10)&gt;0,"Yes","No")</f>
        <v>No</v>
      </c>
      <c r="T13" s="183" t="str">
        <f>IF(SUM(T9:$Y$10)&gt;0,"Yes","No")</f>
        <v>No</v>
      </c>
      <c r="U13" s="183" t="str">
        <f>IF(SUM(U9:$Y$10)&gt;0,"Yes","No")</f>
        <v>No</v>
      </c>
      <c r="V13" s="183" t="str">
        <f>IF(SUM(V9:$Y$10)&gt;0,"Yes","No")</f>
        <v>No</v>
      </c>
      <c r="W13" s="183" t="str">
        <f>IF(SUM(W9:$Y$10)&gt;0,"Yes","No")</f>
        <v>No</v>
      </c>
      <c r="X13" s="183" t="str">
        <f>IF(SUM(X9:$Y$10)&gt;0,"Yes","No")</f>
        <v>No</v>
      </c>
      <c r="Y13" s="183" t="str">
        <f>IF(SUM(Y9:$Y$10)&gt;0,"Yes","No")</f>
        <v>No</v>
      </c>
      <c r="Z13" s="184"/>
      <c r="AA13" s="184"/>
      <c r="AB13" s="185"/>
    </row>
    <row r="14" spans="1:30" s="186" customFormat="1">
      <c r="A14" s="182"/>
      <c r="B14" s="183"/>
      <c r="C14" s="183"/>
      <c r="D14" s="183"/>
      <c r="E14" s="183"/>
      <c r="F14" s="183"/>
      <c r="G14" s="183"/>
      <c r="H14" s="183"/>
      <c r="I14" s="183"/>
      <c r="J14" s="183"/>
      <c r="K14" s="183"/>
      <c r="L14" s="183"/>
      <c r="M14" s="183"/>
      <c r="N14" s="183"/>
      <c r="O14" s="183"/>
      <c r="P14" s="183"/>
      <c r="Q14" s="183"/>
      <c r="R14" s="183"/>
      <c r="S14" s="183"/>
      <c r="T14" s="183"/>
      <c r="U14" s="183"/>
      <c r="V14" s="183"/>
      <c r="W14" s="183"/>
      <c r="X14" s="183"/>
      <c r="Y14" s="183"/>
      <c r="Z14" s="184"/>
      <c r="AA14" s="184"/>
      <c r="AB14" s="185"/>
    </row>
    <row r="15" spans="1:30">
      <c r="A15" s="3" t="s">
        <v>34</v>
      </c>
      <c r="B15" s="9"/>
      <c r="C15" s="9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53"/>
      <c r="AD15" s="54"/>
    </row>
    <row r="16" spans="1:30">
      <c r="H16" s="42"/>
      <c r="AC16" s="43"/>
      <c r="AD16" s="43"/>
    </row>
    <row r="17" spans="1:30">
      <c r="A17" s="5" t="s">
        <v>35</v>
      </c>
      <c r="B17" s="17">
        <f>B5</f>
        <v>42917</v>
      </c>
      <c r="C17" s="17">
        <f>C5</f>
        <v>42948</v>
      </c>
      <c r="D17" s="17">
        <f>D5</f>
        <v>42979</v>
      </c>
      <c r="E17" s="17">
        <f>E5</f>
        <v>43009</v>
      </c>
      <c r="F17" s="17">
        <f>F5</f>
        <v>43040</v>
      </c>
      <c r="G17" s="17">
        <f>G5</f>
        <v>43070</v>
      </c>
      <c r="H17" s="17">
        <f>H5</f>
        <v>43101</v>
      </c>
      <c r="I17" s="17">
        <f>I5</f>
        <v>43132</v>
      </c>
      <c r="J17" s="17">
        <f>J5</f>
        <v>43160</v>
      </c>
      <c r="K17" s="17">
        <f>K5</f>
        <v>43191</v>
      </c>
      <c r="L17" s="17">
        <f>L5</f>
        <v>43221</v>
      </c>
      <c r="M17" s="17">
        <f>M5</f>
        <v>43252</v>
      </c>
      <c r="N17" s="17">
        <f>N5</f>
        <v>43282</v>
      </c>
      <c r="O17" s="17">
        <f>O5</f>
        <v>43313</v>
      </c>
      <c r="P17" s="17">
        <f>P5</f>
        <v>43344</v>
      </c>
      <c r="Q17" s="17">
        <f>Q5</f>
        <v>43374</v>
      </c>
      <c r="R17" s="17">
        <f>R5</f>
        <v>43405</v>
      </c>
      <c r="S17" s="17">
        <f>S5</f>
        <v>43435</v>
      </c>
      <c r="T17" s="17">
        <f>T5</f>
        <v>43466</v>
      </c>
      <c r="U17" s="17">
        <f>U5</f>
        <v>43497</v>
      </c>
      <c r="V17" s="17">
        <f>V5</f>
        <v>43525</v>
      </c>
      <c r="W17" s="17">
        <f>W5</f>
        <v>43556</v>
      </c>
      <c r="X17" s="17">
        <f>X5</f>
        <v>43586</v>
      </c>
      <c r="Y17" s="17">
        <f>Y5</f>
        <v>43617</v>
      </c>
      <c r="Z17" s="47" t="str">
        <f>Z5</f>
        <v>Total during loan period</v>
      </c>
      <c r="AA17" s="47" t="s">
        <v>25</v>
      </c>
      <c r="AB17" s="47" t="str">
        <f>AB5</f>
        <v>Total 24 months</v>
      </c>
      <c r="AC17" s="52"/>
      <c r="AD17" s="52"/>
    </row>
    <row r="18" spans="1:30">
      <c r="A18" t="str">
        <f>IF(Calculations!A4&lt;&gt;Parameters!$A$18,IF(Calculations!A4=0,"",Calculations!A4),Inputs!B7)</f>
        <v>Bananas</v>
      </c>
      <c r="B18" s="36">
        <f>N18</f>
        <v>10410.3783</v>
      </c>
      <c r="C18" s="36">
        <f>O18</f>
        <v>10410.3783</v>
      </c>
      <c r="D18" s="36">
        <f>P18</f>
        <v>10410.3783</v>
      </c>
      <c r="E18" s="36">
        <f>Q18</f>
        <v>10410.3783</v>
      </c>
      <c r="F18" s="36">
        <f>R18</f>
        <v>10410.3783</v>
      </c>
      <c r="G18" s="36">
        <f>S18</f>
        <v>10410.3783</v>
      </c>
      <c r="H18" s="36">
        <f>T18</f>
        <v>10410.3783</v>
      </c>
      <c r="I18" s="36">
        <f>U18</f>
        <v>10410.3783</v>
      </c>
      <c r="J18" s="36">
        <f>V18</f>
        <v>10410.3783</v>
      </c>
      <c r="K18" s="36">
        <f>W18</f>
        <v>10410.3783</v>
      </c>
      <c r="L18" s="36">
        <f>X18</f>
        <v>10410.3783</v>
      </c>
      <c r="M18" s="36">
        <f>Y18</f>
        <v>10410.3783</v>
      </c>
      <c r="N18" s="36">
        <f>IF(Calculations!$D4&lt;&gt;"",IF(AND(N$17&gt;=Calculations!$D4,MIN(MOD(MONTH(Output!N$17)-MONTH(Calculations!$D4),12),MOD(MONTH(Output!N$17)-MONTH(Calculations!$G4),12))&lt;=Inputs!$N7),Calculations!$Q4/Calculations!$S4/(Inputs!$N7+1)*(1+MIN(MOD(MONTH(Output!N$17)-MONTH(Calculations!$D4),12),MOD(MONTH(Output!N$17)-MONTH(Calculations!$G4),12))*Calculations!$P4),0),Calculations!$Q4*Calculations!AO4*(1-Calculations!$R4)+IF(MONTH(N$17)=1,Calculations!$Q4*Calculations!$R4,0))</f>
        <v>10410.3783</v>
      </c>
      <c r="O18" s="36">
        <f>IF(Calculations!$D4&lt;&gt;"",IF(AND(O$17&gt;=Calculations!$D4,MIN(MOD(MONTH(Output!O$17)-MONTH(Calculations!$D4),12),MOD(MONTH(Output!O$17)-MONTH(Calculations!$G4),12))&lt;=Inputs!$N7),Calculations!$Q4/Calculations!$S4/(Inputs!$N7+1)*(1+MIN(MOD(MONTH(Output!O$17)-MONTH(Calculations!$D4),12),MOD(MONTH(Output!O$17)-MONTH(Calculations!$G4),12))*Calculations!$P4),0),Calculations!$Q4*Calculations!AP4*(1-Calculations!$R4)+IF(MONTH(O$17)=1,Calculations!$Q4*Calculations!$R4,0))</f>
        <v>10410.3783</v>
      </c>
      <c r="P18" s="36">
        <f>IF(Calculations!$D4&lt;&gt;"",IF(AND(P$17&gt;=Calculations!$D4,MIN(MOD(MONTH(Output!P$17)-MONTH(Calculations!$D4),12),MOD(MONTH(Output!P$17)-MONTH(Calculations!$G4),12))&lt;=Inputs!$N7),Calculations!$Q4/Calculations!$S4/(Inputs!$N7+1)*(1+MIN(MOD(MONTH(Output!P$17)-MONTH(Calculations!$D4),12),MOD(MONTH(Output!P$17)-MONTH(Calculations!$G4),12))*Calculations!$P4),0),Calculations!$Q4*Calculations!AQ4*(1-Calculations!$R4)+IF(MONTH(P$17)=1,Calculations!$Q4*Calculations!$R4,0))</f>
        <v>10410.3783</v>
      </c>
      <c r="Q18" s="36">
        <f>IF(Calculations!$D4&lt;&gt;"",IF(AND(Q$17&gt;=Calculations!$D4,MIN(MOD(MONTH(Output!Q$17)-MONTH(Calculations!$D4),12),MOD(MONTH(Output!Q$17)-MONTH(Calculations!$G4),12))&lt;=Inputs!$N7),Calculations!$Q4/Calculations!$S4/(Inputs!$N7+1)*(1+MIN(MOD(MONTH(Output!Q$17)-MONTH(Calculations!$D4),12),MOD(MONTH(Output!Q$17)-MONTH(Calculations!$G4),12))*Calculations!$P4),0),Calculations!$Q4*Calculations!AR4*(1-Calculations!$R4)+IF(MONTH(Q$17)=1,Calculations!$Q4*Calculations!$R4,0))</f>
        <v>10410.3783</v>
      </c>
      <c r="R18" s="36">
        <f>IF(Calculations!$D4&lt;&gt;"",IF(AND(R$17&gt;=Calculations!$D4,MIN(MOD(MONTH(Output!R$17)-MONTH(Calculations!$D4),12),MOD(MONTH(Output!R$17)-MONTH(Calculations!$G4),12))&lt;=Inputs!$N7),Calculations!$Q4/Calculations!$S4/(Inputs!$N7+1)*(1+MIN(MOD(MONTH(Output!R$17)-MONTH(Calculations!$D4),12),MOD(MONTH(Output!R$17)-MONTH(Calculations!$G4),12))*Calculations!$P4),0),Calculations!$Q4*Calculations!AS4*(1-Calculations!$R4)+IF(MONTH(R$17)=1,Calculations!$Q4*Calculations!$R4,0))</f>
        <v>10410.3783</v>
      </c>
      <c r="S18" s="36">
        <f>IF(Calculations!$D4&lt;&gt;"",IF(AND(S$17&gt;=Calculations!$D4,MIN(MOD(MONTH(Output!S$17)-MONTH(Calculations!$D4),12),MOD(MONTH(Output!S$17)-MONTH(Calculations!$G4),12))&lt;=Inputs!$N7),Calculations!$Q4/Calculations!$S4/(Inputs!$N7+1)*(1+MIN(MOD(MONTH(Output!S$17)-MONTH(Calculations!$D4),12),MOD(MONTH(Output!S$17)-MONTH(Calculations!$G4),12))*Calculations!$P4),0),Calculations!$Q4*Calculations!AT4*(1-Calculations!$R4)+IF(MONTH(S$17)=1,Calculations!$Q4*Calculations!$R4,0))</f>
        <v>10410.3783</v>
      </c>
      <c r="T18" s="36">
        <f>IF(Calculations!$D4&lt;&gt;"",IF(AND(T$17&gt;=Calculations!$D4,MIN(MOD(MONTH(Output!T$17)-MONTH(Calculations!$D4),12),MOD(MONTH(Output!T$17)-MONTH(Calculations!$G4),12))&lt;=Inputs!$N7),Calculations!$Q4/Calculations!$S4/(Inputs!$N7+1)*(1+MIN(MOD(MONTH(Output!T$17)-MONTH(Calculations!$D4),12),MOD(MONTH(Output!T$17)-MONTH(Calculations!$G4),12))*Calculations!$P4),0),Calculations!$Q4*Calculations!AU4*(1-Calculations!$R4)+IF(MONTH(T$17)=1,Calculations!$Q4*Calculations!$R4,0))</f>
        <v>10410.3783</v>
      </c>
      <c r="U18" s="36">
        <f>IF(Calculations!$D4&lt;&gt;"",IF(AND(U$17&gt;=Calculations!$D4,MIN(MOD(MONTH(Output!U$17)-MONTH(Calculations!$D4),12),MOD(MONTH(Output!U$17)-MONTH(Calculations!$G4),12))&lt;=Inputs!$N7),Calculations!$Q4/Calculations!$S4/(Inputs!$N7+1)*(1+MIN(MOD(MONTH(Output!U$17)-MONTH(Calculations!$D4),12),MOD(MONTH(Output!U$17)-MONTH(Calculations!$G4),12))*Calculations!$P4),0),Calculations!$Q4*Calculations!AV4*(1-Calculations!$R4)+IF(MONTH(U$17)=1,Calculations!$Q4*Calculations!$R4,0))</f>
        <v>10410.3783</v>
      </c>
      <c r="V18" s="36">
        <f>IF(Calculations!$D4&lt;&gt;"",IF(AND(V$17&gt;=Calculations!$D4,MIN(MOD(MONTH(Output!V$17)-MONTH(Calculations!$D4),12),MOD(MONTH(Output!V$17)-MONTH(Calculations!$G4),12))&lt;=Inputs!$N7),Calculations!$Q4/Calculations!$S4/(Inputs!$N7+1)*(1+MIN(MOD(MONTH(Output!V$17)-MONTH(Calculations!$D4),12),MOD(MONTH(Output!V$17)-MONTH(Calculations!$G4),12))*Calculations!$P4),0),Calculations!$Q4*Calculations!AW4*(1-Calculations!$R4)+IF(MONTH(V$17)=1,Calculations!$Q4*Calculations!$R4,0))</f>
        <v>10410.3783</v>
      </c>
      <c r="W18" s="36">
        <f>IF(Calculations!$D4&lt;&gt;"",IF(AND(W$17&gt;=Calculations!$D4,MIN(MOD(MONTH(Output!W$17)-MONTH(Calculations!$D4),12),MOD(MONTH(Output!W$17)-MONTH(Calculations!$G4),12))&lt;=Inputs!$N7),Calculations!$Q4/Calculations!$S4/(Inputs!$N7+1)*(1+MIN(MOD(MONTH(Output!W$17)-MONTH(Calculations!$D4),12),MOD(MONTH(Output!W$17)-MONTH(Calculations!$G4),12))*Calculations!$P4),0),Calculations!$Q4*Calculations!AX4*(1-Calculations!$R4)+IF(MONTH(W$17)=1,Calculations!$Q4*Calculations!$R4,0))</f>
        <v>10410.3783</v>
      </c>
      <c r="X18" s="36">
        <f>IF(Calculations!$D4&lt;&gt;"",IF(AND(X$17&gt;=Calculations!$D4,MIN(MOD(MONTH(Output!X$17)-MONTH(Calculations!$D4),12),MOD(MONTH(Output!X$17)-MONTH(Calculations!$G4),12))&lt;=Inputs!$N7),Calculations!$Q4/Calculations!$S4/(Inputs!$N7+1)*(1+MIN(MOD(MONTH(Output!X$17)-MONTH(Calculations!$D4),12),MOD(MONTH(Output!X$17)-MONTH(Calculations!$G4),12))*Calculations!$P4),0),Calculations!$Q4*Calculations!AY4*(1-Calculations!$R4)+IF(MONTH(X$17)=1,Calculations!$Q4*Calculations!$R4,0))</f>
        <v>10410.3783</v>
      </c>
      <c r="Y18" s="36">
        <f>IF(Calculations!$D4&lt;&gt;"",IF(AND(Y$17&gt;=Calculations!$D4,MIN(MOD(MONTH(Output!Y$17)-MONTH(Calculations!$D4),12),MOD(MONTH(Output!Y$17)-MONTH(Calculations!$G4),12))&lt;=Inputs!$N7),Calculations!$Q4/Calculations!$S4/(Inputs!$N7+1)*(1+MIN(MOD(MONTH(Output!Y$17)-MONTH(Calculations!$D4),12),MOD(MONTH(Output!Y$17)-MONTH(Calculations!$G4),12))*Calculations!$P4),0),Calculations!$Q4*Calculations!AZ4*(1-Calculations!$R4)+IF(MONTH(Y$17)=1,Calculations!$Q4*Calculations!$R4,0))</f>
        <v>10410.3783</v>
      </c>
      <c r="Z18" s="36">
        <f>SUMIF($B$13:$Y$13,"Yes",B18:Y18)</f>
        <v>135334.9179</v>
      </c>
      <c r="AA18" s="36">
        <f>SUM(B18:M18)</f>
        <v>124924.5396</v>
      </c>
      <c r="AB18" s="36">
        <f>SUM(B18:Y18)</f>
        <v>249849.0792000001</v>
      </c>
      <c r="AC18" s="43"/>
      <c r="AD18" s="43"/>
    </row>
    <row r="19" spans="1:30">
      <c r="A19">
        <f>IF(Calculations!A5&lt;&gt;Parameters!$A$18,IF(Calculations!A5=0,"",Calculations!A5),Inputs!B8)</f>
        <v>0</v>
      </c>
      <c r="B19" s="36" t="str">
        <f>N19</f>
        <v>0</v>
      </c>
      <c r="C19" s="36" t="str">
        <f>O19</f>
        <v>0</v>
      </c>
      <c r="D19" s="36" t="str">
        <f>P19</f>
        <v>0</v>
      </c>
      <c r="E19" s="36" t="str">
        <f>Q19</f>
        <v>0</v>
      </c>
      <c r="F19" s="36" t="str">
        <f>R19</f>
        <v>0</v>
      </c>
      <c r="G19" s="36" t="str">
        <f>S19</f>
        <v>0</v>
      </c>
      <c r="H19" s="36" t="str">
        <f>T19</f>
        <v>0</v>
      </c>
      <c r="I19" s="36" t="str">
        <f>U19</f>
        <v>0</v>
      </c>
      <c r="J19" s="36" t="str">
        <f>V19</f>
        <v>0</v>
      </c>
      <c r="K19" s="36" t="str">
        <f>W19</f>
        <v>0</v>
      </c>
      <c r="L19" s="36" t="str">
        <f>X19</f>
        <v>0</v>
      </c>
      <c r="M19" s="36" t="str">
        <f>Y19</f>
        <v>0</v>
      </c>
      <c r="N19" s="36" t="str">
        <f>IF(Calculations!$D5&lt;&gt;"",IF(AND(N$17&gt;=Calculations!$D5,MIN(MOD(MONTH(Output!N$17)-MONTH(Calculations!$D5),12),MOD(MONTH(Output!N$17)-MONTH(Calculations!$G5),12))&lt;=Inputs!$N8),Calculations!$Q5/Calculations!$S5/(Inputs!$N8+1)*(1+MIN(MOD(MONTH(Output!N$17)-MONTH(Calculations!$D5),12),MOD(MONTH(Output!N$17)-MONTH(Calculations!$G5),12))*Calculations!$P5),0),Calculations!$Q5*Calculations!AO5*(1-Calculations!$R5)+IF(MONTH(N$17)=1,Calculations!$Q5*Calculations!$R5,0))</f>
        <v>0</v>
      </c>
      <c r="O19" s="36" t="str">
        <f>IF(Calculations!$D5&lt;&gt;"",IF(AND(O$17&gt;=Calculations!$D5,MIN(MOD(MONTH(Output!O$17)-MONTH(Calculations!$D5),12),MOD(MONTH(Output!O$17)-MONTH(Calculations!$G5),12))&lt;=Inputs!$N8),Calculations!$Q5/Calculations!$S5/(Inputs!$N8+1)*(1+MIN(MOD(MONTH(Output!O$17)-MONTH(Calculations!$D5),12),MOD(MONTH(Output!O$17)-MONTH(Calculations!$G5),12))*Calculations!$P5),0),Calculations!$Q5*Calculations!AP5*(1-Calculations!$R5)+IF(MONTH(O$17)=1,Calculations!$Q5*Calculations!$R5,0))</f>
        <v>0</v>
      </c>
      <c r="P19" s="36" t="str">
        <f>IF(Calculations!$D5&lt;&gt;"",IF(AND(P$17&gt;=Calculations!$D5,MIN(MOD(MONTH(Output!P$17)-MONTH(Calculations!$D5),12),MOD(MONTH(Output!P$17)-MONTH(Calculations!$G5),12))&lt;=Inputs!$N8),Calculations!$Q5/Calculations!$S5/(Inputs!$N8+1)*(1+MIN(MOD(MONTH(Output!P$17)-MONTH(Calculations!$D5),12),MOD(MONTH(Output!P$17)-MONTH(Calculations!$G5),12))*Calculations!$P5),0),Calculations!$Q5*Calculations!AQ5*(1-Calculations!$R5)+IF(MONTH(P$17)=1,Calculations!$Q5*Calculations!$R5,0))</f>
        <v>0</v>
      </c>
      <c r="Q19" s="36" t="str">
        <f>IF(Calculations!$D5&lt;&gt;"",IF(AND(Q$17&gt;=Calculations!$D5,MIN(MOD(MONTH(Output!Q$17)-MONTH(Calculations!$D5),12),MOD(MONTH(Output!Q$17)-MONTH(Calculations!$G5),12))&lt;=Inputs!$N8),Calculations!$Q5/Calculations!$S5/(Inputs!$N8+1)*(1+MIN(MOD(MONTH(Output!Q$17)-MONTH(Calculations!$D5),12),MOD(MONTH(Output!Q$17)-MONTH(Calculations!$G5),12))*Calculations!$P5),0),Calculations!$Q5*Calculations!AR5*(1-Calculations!$R5)+IF(MONTH(Q$17)=1,Calculations!$Q5*Calculations!$R5,0))</f>
        <v>0</v>
      </c>
      <c r="R19" s="36" t="str">
        <f>IF(Calculations!$D5&lt;&gt;"",IF(AND(R$17&gt;=Calculations!$D5,MIN(MOD(MONTH(Output!R$17)-MONTH(Calculations!$D5),12),MOD(MONTH(Output!R$17)-MONTH(Calculations!$G5),12))&lt;=Inputs!$N8),Calculations!$Q5/Calculations!$S5/(Inputs!$N8+1)*(1+MIN(MOD(MONTH(Output!R$17)-MONTH(Calculations!$D5),12),MOD(MONTH(Output!R$17)-MONTH(Calculations!$G5),12))*Calculations!$P5),0),Calculations!$Q5*Calculations!AS5*(1-Calculations!$R5)+IF(MONTH(R$17)=1,Calculations!$Q5*Calculations!$R5,0))</f>
        <v>0</v>
      </c>
      <c r="S19" s="36" t="str">
        <f>IF(Calculations!$D5&lt;&gt;"",IF(AND(S$17&gt;=Calculations!$D5,MIN(MOD(MONTH(Output!S$17)-MONTH(Calculations!$D5),12),MOD(MONTH(Output!S$17)-MONTH(Calculations!$G5),12))&lt;=Inputs!$N8),Calculations!$Q5/Calculations!$S5/(Inputs!$N8+1)*(1+MIN(MOD(MONTH(Output!S$17)-MONTH(Calculations!$D5),12),MOD(MONTH(Output!S$17)-MONTH(Calculations!$G5),12))*Calculations!$P5),0),Calculations!$Q5*Calculations!AT5*(1-Calculations!$R5)+IF(MONTH(S$17)=1,Calculations!$Q5*Calculations!$R5,0))</f>
        <v>0</v>
      </c>
      <c r="T19" s="36" t="str">
        <f>IF(Calculations!$D5&lt;&gt;"",IF(AND(T$17&gt;=Calculations!$D5,MIN(MOD(MONTH(Output!T$17)-MONTH(Calculations!$D5),12),MOD(MONTH(Output!T$17)-MONTH(Calculations!$G5),12))&lt;=Inputs!$N8),Calculations!$Q5/Calculations!$S5/(Inputs!$N8+1)*(1+MIN(MOD(MONTH(Output!T$17)-MONTH(Calculations!$D5),12),MOD(MONTH(Output!T$17)-MONTH(Calculations!$G5),12))*Calculations!$P5),0),Calculations!$Q5*Calculations!AU5*(1-Calculations!$R5)+IF(MONTH(T$17)=1,Calculations!$Q5*Calculations!$R5,0))</f>
        <v>0</v>
      </c>
      <c r="U19" s="36" t="str">
        <f>IF(Calculations!$D5&lt;&gt;"",IF(AND(U$17&gt;=Calculations!$D5,MIN(MOD(MONTH(Output!U$17)-MONTH(Calculations!$D5),12),MOD(MONTH(Output!U$17)-MONTH(Calculations!$G5),12))&lt;=Inputs!$N8),Calculations!$Q5/Calculations!$S5/(Inputs!$N8+1)*(1+MIN(MOD(MONTH(Output!U$17)-MONTH(Calculations!$D5),12),MOD(MONTH(Output!U$17)-MONTH(Calculations!$G5),12))*Calculations!$P5),0),Calculations!$Q5*Calculations!AV5*(1-Calculations!$R5)+IF(MONTH(U$17)=1,Calculations!$Q5*Calculations!$R5,0))</f>
        <v>0</v>
      </c>
      <c r="V19" s="36" t="str">
        <f>IF(Calculations!$D5&lt;&gt;"",IF(AND(V$17&gt;=Calculations!$D5,MIN(MOD(MONTH(Output!V$17)-MONTH(Calculations!$D5),12),MOD(MONTH(Output!V$17)-MONTH(Calculations!$G5),12))&lt;=Inputs!$N8),Calculations!$Q5/Calculations!$S5/(Inputs!$N8+1)*(1+MIN(MOD(MONTH(Output!V$17)-MONTH(Calculations!$D5),12),MOD(MONTH(Output!V$17)-MONTH(Calculations!$G5),12))*Calculations!$P5),0),Calculations!$Q5*Calculations!AW5*(1-Calculations!$R5)+IF(MONTH(V$17)=1,Calculations!$Q5*Calculations!$R5,0))</f>
        <v>0</v>
      </c>
      <c r="W19" s="36" t="str">
        <f>IF(Calculations!$D5&lt;&gt;"",IF(AND(W$17&gt;=Calculations!$D5,MIN(MOD(MONTH(Output!W$17)-MONTH(Calculations!$D5),12),MOD(MONTH(Output!W$17)-MONTH(Calculations!$G5),12))&lt;=Inputs!$N8),Calculations!$Q5/Calculations!$S5/(Inputs!$N8+1)*(1+MIN(MOD(MONTH(Output!W$17)-MONTH(Calculations!$D5),12),MOD(MONTH(Output!W$17)-MONTH(Calculations!$G5),12))*Calculations!$P5),0),Calculations!$Q5*Calculations!AX5*(1-Calculations!$R5)+IF(MONTH(W$17)=1,Calculations!$Q5*Calculations!$R5,0))</f>
        <v>0</v>
      </c>
      <c r="X19" s="36" t="str">
        <f>IF(Calculations!$D5&lt;&gt;"",IF(AND(X$17&gt;=Calculations!$D5,MIN(MOD(MONTH(Output!X$17)-MONTH(Calculations!$D5),12),MOD(MONTH(Output!X$17)-MONTH(Calculations!$G5),12))&lt;=Inputs!$N8),Calculations!$Q5/Calculations!$S5/(Inputs!$N8+1)*(1+MIN(MOD(MONTH(Output!X$17)-MONTH(Calculations!$D5),12),MOD(MONTH(Output!X$17)-MONTH(Calculations!$G5),12))*Calculations!$P5),0),Calculations!$Q5*Calculations!AY5*(1-Calculations!$R5)+IF(MONTH(X$17)=1,Calculations!$Q5*Calculations!$R5,0))</f>
        <v>0</v>
      </c>
      <c r="Y19" s="36" t="str">
        <f>IF(Calculations!$D5&lt;&gt;"",IF(AND(Y$17&gt;=Calculations!$D5,MIN(MOD(MONTH(Output!Y$17)-MONTH(Calculations!$D5),12),MOD(MONTH(Output!Y$17)-MONTH(Calculations!$G5),12))&lt;=Inputs!$N8),Calculations!$Q5/Calculations!$S5/(Inputs!$N8+1)*(1+MIN(MOD(MONTH(Output!Y$17)-MONTH(Calculations!$D5),12),MOD(MONTH(Output!Y$17)-MONTH(Calculations!$G5),12))*Calculations!$P5),0),Calculations!$Q5*Calculations!AZ5*(1-Calculations!$R5)+IF(MONTH(Y$17)=1,Calculations!$Q5*Calculations!$R5,0))</f>
        <v>0</v>
      </c>
      <c r="Z19" s="36">
        <f>SUMIF($B$13:$Y$13,"Yes",B19:Y19)</f>
        <v>0</v>
      </c>
      <c r="AA19" s="36">
        <f>SUM(B19:M19)</f>
        <v>0</v>
      </c>
      <c r="AB19" s="36">
        <f>SUM(B19:Y19)</f>
        <v>0</v>
      </c>
      <c r="AC19" s="43"/>
      <c r="AD19" s="43"/>
    </row>
    <row r="20" spans="1:30">
      <c r="A20" t="str">
        <f>IF(Calculations!A6&lt;&gt;Parameters!$A$18,IF(Calculations!A6=0,"",Calculations!A6),Inputs!B9)</f>
        <v>Maize</v>
      </c>
      <c r="B20" s="36">
        <f>N20</f>
        <v>0</v>
      </c>
      <c r="C20" s="36">
        <f>O20</f>
        <v>0</v>
      </c>
      <c r="D20" s="36">
        <f>P20</f>
        <v>0</v>
      </c>
      <c r="E20" s="36">
        <f>Q20</f>
        <v>0</v>
      </c>
      <c r="F20" s="36">
        <f>R20</f>
        <v>0</v>
      </c>
      <c r="G20" s="36">
        <f>S20</f>
        <v>8788.5</v>
      </c>
      <c r="H20" s="36">
        <f>T20</f>
        <v>0</v>
      </c>
      <c r="I20" s="36">
        <f>U20</f>
        <v>0</v>
      </c>
      <c r="J20" s="36">
        <f>V20</f>
        <v>0</v>
      </c>
      <c r="K20" s="36">
        <f>W20</f>
        <v>0</v>
      </c>
      <c r="L20" s="36">
        <f>X20</f>
        <v>0</v>
      </c>
      <c r="M20" s="36">
        <f>Y20</f>
        <v>8788.5</v>
      </c>
      <c r="N20" s="36">
        <f>IF(Calculations!$D6&lt;&gt;"",IF(AND(N$17&gt;=Calculations!$D6,MIN(MOD(MONTH(Output!N$17)-MONTH(Calculations!$D6),12),MOD(MONTH(Output!N$17)-MONTH(Calculations!$G6),12))&lt;=Inputs!$N9),Calculations!$Q6/Calculations!$S6/(Inputs!$N9+1)*(1+MIN(MOD(MONTH(Output!N$17)-MONTH(Calculations!$D6),12),MOD(MONTH(Output!N$17)-MONTH(Calculations!$G6),12))*Calculations!$P6),0),Calculations!$Q6*Calculations!AO6*(1-Calculations!$R6)+IF(MONTH(N$17)=1,Calculations!$Q6*Calculations!$R6,0))</f>
        <v>0</v>
      </c>
      <c r="O20" s="36">
        <f>IF(Calculations!$D6&lt;&gt;"",IF(AND(O$17&gt;=Calculations!$D6,MIN(MOD(MONTH(Output!O$17)-MONTH(Calculations!$D6),12),MOD(MONTH(Output!O$17)-MONTH(Calculations!$G6),12))&lt;=Inputs!$N9),Calculations!$Q6/Calculations!$S6/(Inputs!$N9+1)*(1+MIN(MOD(MONTH(Output!O$17)-MONTH(Calculations!$D6),12),MOD(MONTH(Output!O$17)-MONTH(Calculations!$G6),12))*Calculations!$P6),0),Calculations!$Q6*Calculations!AP6*(1-Calculations!$R6)+IF(MONTH(O$17)=1,Calculations!$Q6*Calculations!$R6,0))</f>
        <v>0</v>
      </c>
      <c r="P20" s="36">
        <f>IF(Calculations!$D6&lt;&gt;"",IF(AND(P$17&gt;=Calculations!$D6,MIN(MOD(MONTH(Output!P$17)-MONTH(Calculations!$D6),12),MOD(MONTH(Output!P$17)-MONTH(Calculations!$G6),12))&lt;=Inputs!$N9),Calculations!$Q6/Calculations!$S6/(Inputs!$N9+1)*(1+MIN(MOD(MONTH(Output!P$17)-MONTH(Calculations!$D6),12),MOD(MONTH(Output!P$17)-MONTH(Calculations!$G6),12))*Calculations!$P6),0),Calculations!$Q6*Calculations!AQ6*(1-Calculations!$R6)+IF(MONTH(P$17)=1,Calculations!$Q6*Calculations!$R6,0))</f>
        <v>0</v>
      </c>
      <c r="Q20" s="36">
        <f>IF(Calculations!$D6&lt;&gt;"",IF(AND(Q$17&gt;=Calculations!$D6,MIN(MOD(MONTH(Output!Q$17)-MONTH(Calculations!$D6),12),MOD(MONTH(Output!Q$17)-MONTH(Calculations!$G6),12))&lt;=Inputs!$N9),Calculations!$Q6/Calculations!$S6/(Inputs!$N9+1)*(1+MIN(MOD(MONTH(Output!Q$17)-MONTH(Calculations!$D6),12),MOD(MONTH(Output!Q$17)-MONTH(Calculations!$G6),12))*Calculations!$P6),0),Calculations!$Q6*Calculations!AR6*(1-Calculations!$R6)+IF(MONTH(Q$17)=1,Calculations!$Q6*Calculations!$R6,0))</f>
        <v>0</v>
      </c>
      <c r="R20" s="36">
        <f>IF(Calculations!$D6&lt;&gt;"",IF(AND(R$17&gt;=Calculations!$D6,MIN(MOD(MONTH(Output!R$17)-MONTH(Calculations!$D6),12),MOD(MONTH(Output!R$17)-MONTH(Calculations!$G6),12))&lt;=Inputs!$N9),Calculations!$Q6/Calculations!$S6/(Inputs!$N9+1)*(1+MIN(MOD(MONTH(Output!R$17)-MONTH(Calculations!$D6),12),MOD(MONTH(Output!R$17)-MONTH(Calculations!$G6),12))*Calculations!$P6),0),Calculations!$Q6*Calculations!AS6*(1-Calculations!$R6)+IF(MONTH(R$17)=1,Calculations!$Q6*Calculations!$R6,0))</f>
        <v>0</v>
      </c>
      <c r="S20" s="36">
        <f>IF(Calculations!$D6&lt;&gt;"",IF(AND(S$17&gt;=Calculations!$D6,MIN(MOD(MONTH(Output!S$17)-MONTH(Calculations!$D6),12),MOD(MONTH(Output!S$17)-MONTH(Calculations!$G6),12))&lt;=Inputs!$N9),Calculations!$Q6/Calculations!$S6/(Inputs!$N9+1)*(1+MIN(MOD(MONTH(Output!S$17)-MONTH(Calculations!$D6),12),MOD(MONTH(Output!S$17)-MONTH(Calculations!$G6),12))*Calculations!$P6),0),Calculations!$Q6*Calculations!AT6*(1-Calculations!$R6)+IF(MONTH(S$17)=1,Calculations!$Q6*Calculations!$R6,0))</f>
        <v>8788.5</v>
      </c>
      <c r="T20" s="36">
        <f>IF(Calculations!$D6&lt;&gt;"",IF(AND(T$17&gt;=Calculations!$D6,MIN(MOD(MONTH(Output!T$17)-MONTH(Calculations!$D6),12),MOD(MONTH(Output!T$17)-MONTH(Calculations!$G6),12))&lt;=Inputs!$N9),Calculations!$Q6/Calculations!$S6/(Inputs!$N9+1)*(1+MIN(MOD(MONTH(Output!T$17)-MONTH(Calculations!$D6),12),MOD(MONTH(Output!T$17)-MONTH(Calculations!$G6),12))*Calculations!$P6),0),Calculations!$Q6*Calculations!AU6*(1-Calculations!$R6)+IF(MONTH(T$17)=1,Calculations!$Q6*Calculations!$R6,0))</f>
        <v>0</v>
      </c>
      <c r="U20" s="36">
        <f>IF(Calculations!$D6&lt;&gt;"",IF(AND(U$17&gt;=Calculations!$D6,MIN(MOD(MONTH(Output!U$17)-MONTH(Calculations!$D6),12),MOD(MONTH(Output!U$17)-MONTH(Calculations!$G6),12))&lt;=Inputs!$N9),Calculations!$Q6/Calculations!$S6/(Inputs!$N9+1)*(1+MIN(MOD(MONTH(Output!U$17)-MONTH(Calculations!$D6),12),MOD(MONTH(Output!U$17)-MONTH(Calculations!$G6),12))*Calculations!$P6),0),Calculations!$Q6*Calculations!AV6*(1-Calculations!$R6)+IF(MONTH(U$17)=1,Calculations!$Q6*Calculations!$R6,0))</f>
        <v>0</v>
      </c>
      <c r="V20" s="36">
        <f>IF(Calculations!$D6&lt;&gt;"",IF(AND(V$17&gt;=Calculations!$D6,MIN(MOD(MONTH(Output!V$17)-MONTH(Calculations!$D6),12),MOD(MONTH(Output!V$17)-MONTH(Calculations!$G6),12))&lt;=Inputs!$N9),Calculations!$Q6/Calculations!$S6/(Inputs!$N9+1)*(1+MIN(MOD(MONTH(Output!V$17)-MONTH(Calculations!$D6),12),MOD(MONTH(Output!V$17)-MONTH(Calculations!$G6),12))*Calculations!$P6),0),Calculations!$Q6*Calculations!AW6*(1-Calculations!$R6)+IF(MONTH(V$17)=1,Calculations!$Q6*Calculations!$R6,0))</f>
        <v>0</v>
      </c>
      <c r="W20" s="36">
        <f>IF(Calculations!$D6&lt;&gt;"",IF(AND(W$17&gt;=Calculations!$D6,MIN(MOD(MONTH(Output!W$17)-MONTH(Calculations!$D6),12),MOD(MONTH(Output!W$17)-MONTH(Calculations!$G6),12))&lt;=Inputs!$N9),Calculations!$Q6/Calculations!$S6/(Inputs!$N9+1)*(1+MIN(MOD(MONTH(Output!W$17)-MONTH(Calculations!$D6),12),MOD(MONTH(Output!W$17)-MONTH(Calculations!$G6),12))*Calculations!$P6),0),Calculations!$Q6*Calculations!AX6*(1-Calculations!$R6)+IF(MONTH(W$17)=1,Calculations!$Q6*Calculations!$R6,0))</f>
        <v>0</v>
      </c>
      <c r="X20" s="36">
        <f>IF(Calculations!$D6&lt;&gt;"",IF(AND(X$17&gt;=Calculations!$D6,MIN(MOD(MONTH(Output!X$17)-MONTH(Calculations!$D6),12),MOD(MONTH(Output!X$17)-MONTH(Calculations!$G6),12))&lt;=Inputs!$N9),Calculations!$Q6/Calculations!$S6/(Inputs!$N9+1)*(1+MIN(MOD(MONTH(Output!X$17)-MONTH(Calculations!$D6),12),MOD(MONTH(Output!X$17)-MONTH(Calculations!$G6),12))*Calculations!$P6),0),Calculations!$Q6*Calculations!AY6*(1-Calculations!$R6)+IF(MONTH(X$17)=1,Calculations!$Q6*Calculations!$R6,0))</f>
        <v>0</v>
      </c>
      <c r="Y20" s="36">
        <f>IF(Calculations!$D6&lt;&gt;"",IF(AND(Y$17&gt;=Calculations!$D6,MIN(MOD(MONTH(Output!Y$17)-MONTH(Calculations!$D6),12),MOD(MONTH(Output!Y$17)-MONTH(Calculations!$G6),12))&lt;=Inputs!$N9),Calculations!$Q6/Calculations!$S6/(Inputs!$N9+1)*(1+MIN(MOD(MONTH(Output!Y$17)-MONTH(Calculations!$D6),12),MOD(MONTH(Output!Y$17)-MONTH(Calculations!$G6),12))*Calculations!$P6),0),Calculations!$Q6*Calculations!AZ6*(1-Calculations!$R6)+IF(MONTH(Y$17)=1,Calculations!$Q6*Calculations!$R6,0))</f>
        <v>8788.5</v>
      </c>
      <c r="Z20" s="36">
        <f>SUMIF($B$13:$Y$13,"Yes",B20:Y20)</f>
        <v>17577</v>
      </c>
      <c r="AA20" s="36">
        <f>SUM(B20:M20)</f>
        <v>17577</v>
      </c>
      <c r="AB20" s="36">
        <f>SUM(B20:Y20)</f>
        <v>35154</v>
      </c>
    </row>
    <row r="21" spans="1:30">
      <c r="A21">
        <f>IF(Calculations!A7&lt;&gt;Parameters!$A$18,IF(Calculations!A7=0,"",Calculations!A7),Inputs!B10)</f>
        <v>0</v>
      </c>
      <c r="B21" s="36">
        <f>N21</f>
        <v>0</v>
      </c>
      <c r="C21" s="36">
        <f>O21</f>
        <v>0</v>
      </c>
      <c r="D21" s="36">
        <f>P21</f>
        <v>0</v>
      </c>
      <c r="E21" s="36">
        <f>Q21</f>
        <v>0</v>
      </c>
      <c r="F21" s="36">
        <f>R21</f>
        <v>0</v>
      </c>
      <c r="G21" s="36">
        <f>S21</f>
        <v>0</v>
      </c>
      <c r="H21" s="36">
        <f>T21</f>
        <v>0</v>
      </c>
      <c r="I21" s="36">
        <f>U21</f>
        <v>0</v>
      </c>
      <c r="J21" s="36">
        <f>V21</f>
        <v>0</v>
      </c>
      <c r="K21" s="36">
        <f>W21</f>
        <v>0</v>
      </c>
      <c r="L21" s="36">
        <f>X21</f>
        <v>0</v>
      </c>
      <c r="M21" s="36">
        <f>Y21</f>
        <v>0</v>
      </c>
      <c r="N21" s="36">
        <f>IF(Calculations!$D7&lt;&gt;"",IF(AND(N$17&gt;=Calculations!$D7,MIN(MOD(MONTH(Output!N$17)-MONTH(Calculations!$D7),12),MOD(MONTH(Output!N$17)-MONTH(Calculations!$G7),12))&lt;=Inputs!$N10),Calculations!$Q7/Calculations!$S7/(Inputs!$N10+1)*(1+MIN(MOD(MONTH(Output!N$17)-MONTH(Calculations!$D7),12),MOD(MONTH(Output!N$17)-MONTH(Calculations!$G7),12))*Calculations!$P7),0),Calculations!$Q7*Calculations!AO7*(1-Calculations!$R7)+IF(MONTH(N$17)=1,Calculations!$Q7*Calculations!$R7,0))</f>
        <v>0</v>
      </c>
      <c r="O21" s="36">
        <f>IF(Calculations!$D7&lt;&gt;"",IF(AND(O$17&gt;=Calculations!$D7,MIN(MOD(MONTH(Output!O$17)-MONTH(Calculations!$D7),12),MOD(MONTH(Output!O$17)-MONTH(Calculations!$G7),12))&lt;=Inputs!$N10),Calculations!$Q7/Calculations!$S7/(Inputs!$N10+1)*(1+MIN(MOD(MONTH(Output!O$17)-MONTH(Calculations!$D7),12),MOD(MONTH(Output!O$17)-MONTH(Calculations!$G7),12))*Calculations!$P7),0),Calculations!$Q7*Calculations!AP7*(1-Calculations!$R7)+IF(MONTH(O$17)=1,Calculations!$Q7*Calculations!$R7,0))</f>
        <v>0</v>
      </c>
      <c r="P21" s="36">
        <f>IF(Calculations!$D7&lt;&gt;"",IF(AND(P$17&gt;=Calculations!$D7,MIN(MOD(MONTH(Output!P$17)-MONTH(Calculations!$D7),12),MOD(MONTH(Output!P$17)-MONTH(Calculations!$G7),12))&lt;=Inputs!$N10),Calculations!$Q7/Calculations!$S7/(Inputs!$N10+1)*(1+MIN(MOD(MONTH(Output!P$17)-MONTH(Calculations!$D7),12),MOD(MONTH(Output!P$17)-MONTH(Calculations!$G7),12))*Calculations!$P7),0),Calculations!$Q7*Calculations!AQ7*(1-Calculations!$R7)+IF(MONTH(P$17)=1,Calculations!$Q7*Calculations!$R7,0))</f>
        <v>0</v>
      </c>
      <c r="Q21" s="36">
        <f>IF(Calculations!$D7&lt;&gt;"",IF(AND(Q$17&gt;=Calculations!$D7,MIN(MOD(MONTH(Output!Q$17)-MONTH(Calculations!$D7),12),MOD(MONTH(Output!Q$17)-MONTH(Calculations!$G7),12))&lt;=Inputs!$N10),Calculations!$Q7/Calculations!$S7/(Inputs!$N10+1)*(1+MIN(MOD(MONTH(Output!Q$17)-MONTH(Calculations!$D7),12),MOD(MONTH(Output!Q$17)-MONTH(Calculations!$G7),12))*Calculations!$P7),0),Calculations!$Q7*Calculations!AR7*(1-Calculations!$R7)+IF(MONTH(Q$17)=1,Calculations!$Q7*Calculations!$R7,0))</f>
        <v>0</v>
      </c>
      <c r="R21" s="36">
        <f>IF(Calculations!$D7&lt;&gt;"",IF(AND(R$17&gt;=Calculations!$D7,MIN(MOD(MONTH(Output!R$17)-MONTH(Calculations!$D7),12),MOD(MONTH(Output!R$17)-MONTH(Calculations!$G7),12))&lt;=Inputs!$N10),Calculations!$Q7/Calculations!$S7/(Inputs!$N10+1)*(1+MIN(MOD(MONTH(Output!R$17)-MONTH(Calculations!$D7),12),MOD(MONTH(Output!R$17)-MONTH(Calculations!$G7),12))*Calculations!$P7),0),Calculations!$Q7*Calculations!AS7*(1-Calculations!$R7)+IF(MONTH(R$17)=1,Calculations!$Q7*Calculations!$R7,0))</f>
        <v>0</v>
      </c>
      <c r="S21" s="36">
        <f>IF(Calculations!$D7&lt;&gt;"",IF(AND(S$17&gt;=Calculations!$D7,MIN(MOD(MONTH(Output!S$17)-MONTH(Calculations!$D7),12),MOD(MONTH(Output!S$17)-MONTH(Calculations!$G7),12))&lt;=Inputs!$N10),Calculations!$Q7/Calculations!$S7/(Inputs!$N10+1)*(1+MIN(MOD(MONTH(Output!S$17)-MONTH(Calculations!$D7),12),MOD(MONTH(Output!S$17)-MONTH(Calculations!$G7),12))*Calculations!$P7),0),Calculations!$Q7*Calculations!AT7*(1-Calculations!$R7)+IF(MONTH(S$17)=1,Calculations!$Q7*Calculations!$R7,0))</f>
        <v>0</v>
      </c>
      <c r="T21" s="36">
        <f>IF(Calculations!$D7&lt;&gt;"",IF(AND(T$17&gt;=Calculations!$D7,MIN(MOD(MONTH(Output!T$17)-MONTH(Calculations!$D7),12),MOD(MONTH(Output!T$17)-MONTH(Calculations!$G7),12))&lt;=Inputs!$N10),Calculations!$Q7/Calculations!$S7/(Inputs!$N10+1)*(1+MIN(MOD(MONTH(Output!T$17)-MONTH(Calculations!$D7),12),MOD(MONTH(Output!T$17)-MONTH(Calculations!$G7),12))*Calculations!$P7),0),Calculations!$Q7*Calculations!AU7*(1-Calculations!$R7)+IF(MONTH(T$17)=1,Calculations!$Q7*Calculations!$R7,0))</f>
        <v>0</v>
      </c>
      <c r="U21" s="36">
        <f>IF(Calculations!$D7&lt;&gt;"",IF(AND(U$17&gt;=Calculations!$D7,MIN(MOD(MONTH(Output!U$17)-MONTH(Calculations!$D7),12),MOD(MONTH(Output!U$17)-MONTH(Calculations!$G7),12))&lt;=Inputs!$N10),Calculations!$Q7/Calculations!$S7/(Inputs!$N10+1)*(1+MIN(MOD(MONTH(Output!U$17)-MONTH(Calculations!$D7),12),MOD(MONTH(Output!U$17)-MONTH(Calculations!$G7),12))*Calculations!$P7),0),Calculations!$Q7*Calculations!AV7*(1-Calculations!$R7)+IF(MONTH(U$17)=1,Calculations!$Q7*Calculations!$R7,0))</f>
        <v>0</v>
      </c>
      <c r="V21" s="36">
        <f>IF(Calculations!$D7&lt;&gt;"",IF(AND(V$17&gt;=Calculations!$D7,MIN(MOD(MONTH(Output!V$17)-MONTH(Calculations!$D7),12),MOD(MONTH(Output!V$17)-MONTH(Calculations!$G7),12))&lt;=Inputs!$N10),Calculations!$Q7/Calculations!$S7/(Inputs!$N10+1)*(1+MIN(MOD(MONTH(Output!V$17)-MONTH(Calculations!$D7),12),MOD(MONTH(Output!V$17)-MONTH(Calculations!$G7),12))*Calculations!$P7),0),Calculations!$Q7*Calculations!AW7*(1-Calculations!$R7)+IF(MONTH(V$17)=1,Calculations!$Q7*Calculations!$R7,0))</f>
        <v>0</v>
      </c>
      <c r="W21" s="36">
        <f>IF(Calculations!$D7&lt;&gt;"",IF(AND(W$17&gt;=Calculations!$D7,MIN(MOD(MONTH(Output!W$17)-MONTH(Calculations!$D7),12),MOD(MONTH(Output!W$17)-MONTH(Calculations!$G7),12))&lt;=Inputs!$N10),Calculations!$Q7/Calculations!$S7/(Inputs!$N10+1)*(1+MIN(MOD(MONTH(Output!W$17)-MONTH(Calculations!$D7),12),MOD(MONTH(Output!W$17)-MONTH(Calculations!$G7),12))*Calculations!$P7),0),Calculations!$Q7*Calculations!AX7*(1-Calculations!$R7)+IF(MONTH(W$17)=1,Calculations!$Q7*Calculations!$R7,0))</f>
        <v>0</v>
      </c>
      <c r="X21" s="36">
        <f>IF(Calculations!$D7&lt;&gt;"",IF(AND(X$17&gt;=Calculations!$D7,MIN(MOD(MONTH(Output!X$17)-MONTH(Calculations!$D7),12),MOD(MONTH(Output!X$17)-MONTH(Calculations!$G7),12))&lt;=Inputs!$N10),Calculations!$Q7/Calculations!$S7/(Inputs!$N10+1)*(1+MIN(MOD(MONTH(Output!X$17)-MONTH(Calculations!$D7),12),MOD(MONTH(Output!X$17)-MONTH(Calculations!$G7),12))*Calculations!$P7),0),Calculations!$Q7*Calculations!AY7*(1-Calculations!$R7)+IF(MONTH(X$17)=1,Calculations!$Q7*Calculations!$R7,0))</f>
        <v>0</v>
      </c>
      <c r="Y21" s="36">
        <f>IF(Calculations!$D7&lt;&gt;"",IF(AND(Y$17&gt;=Calculations!$D7,MIN(MOD(MONTH(Output!Y$17)-MONTH(Calculations!$D7),12),MOD(MONTH(Output!Y$17)-MONTH(Calculations!$G7),12))&lt;=Inputs!$N10),Calculations!$Q7/Calculations!$S7/(Inputs!$N10+1)*(1+MIN(MOD(MONTH(Output!Y$17)-MONTH(Calculations!$D7),12),MOD(MONTH(Output!Y$17)-MONTH(Calculations!$G7),12))*Calculations!$P7),0),Calculations!$Q7*Calculations!AZ7*(1-Calculations!$R7)+IF(MONTH(Y$17)=1,Calculations!$Q7*Calculations!$R7,0))</f>
        <v>0</v>
      </c>
      <c r="Z21" s="36">
        <f>SUMIF($B$13:$Y$13,"Yes",B21:Y21)</f>
        <v>0</v>
      </c>
      <c r="AA21" s="36">
        <f>SUM(B21:M21)</f>
        <v>0</v>
      </c>
      <c r="AB21" s="36">
        <f>SUM(B21:Y21)</f>
        <v>0</v>
      </c>
    </row>
    <row r="22" spans="1:30">
      <c r="A22">
        <f>IF(Calculations!A8&lt;&gt;Parameters!$A$18,IF(Calculations!A8=0,"",Calculations!A8),Inputs!B11)</f>
        <v>0</v>
      </c>
      <c r="B22" s="36">
        <f>N22</f>
        <v>0</v>
      </c>
      <c r="C22" s="36">
        <f>O22</f>
        <v>0</v>
      </c>
      <c r="D22" s="36">
        <f>P22</f>
        <v>0</v>
      </c>
      <c r="E22" s="36">
        <f>Q22</f>
        <v>0</v>
      </c>
      <c r="F22" s="36">
        <f>R22</f>
        <v>0</v>
      </c>
      <c r="G22" s="36">
        <f>S22</f>
        <v>0</v>
      </c>
      <c r="H22" s="36">
        <f>T22</f>
        <v>0</v>
      </c>
      <c r="I22" s="36">
        <f>U22</f>
        <v>0</v>
      </c>
      <c r="J22" s="36">
        <f>V22</f>
        <v>0</v>
      </c>
      <c r="K22" s="36">
        <f>W22</f>
        <v>0</v>
      </c>
      <c r="L22" s="36">
        <f>X22</f>
        <v>0</v>
      </c>
      <c r="M22" s="36">
        <f>Y22</f>
        <v>0</v>
      </c>
      <c r="N22" s="36">
        <f>IF(Calculations!$D8&lt;&gt;"",IF(AND(N$17&gt;=Calculations!$D8,MIN(MOD(MONTH(Output!N$17)-MONTH(Calculations!$D8),12),MOD(MONTH(Output!N$17)-MONTH(Calculations!$G8),12))&lt;=Inputs!$N11),Calculations!$Q8/Calculations!$S8/(Inputs!$N11+1)*(1+MIN(MOD(MONTH(Output!N$17)-MONTH(Calculations!$D8),12),MOD(MONTH(Output!N$17)-MONTH(Calculations!$G8),12))*Calculations!$P8),0),Calculations!$Q8*Calculations!AO8*(1-Calculations!$R8)+IF(MONTH(N$17)=1,Calculations!$Q8*Calculations!$R8,0))</f>
        <v>0</v>
      </c>
      <c r="O22" s="36">
        <f>IF(Calculations!$D8&lt;&gt;"",IF(AND(O$17&gt;=Calculations!$D8,MIN(MOD(MONTH(Output!O$17)-MONTH(Calculations!$D8),12),MOD(MONTH(Output!O$17)-MONTH(Calculations!$G8),12))&lt;=Inputs!$N11),Calculations!$Q8/Calculations!$S8/(Inputs!$N11+1)*(1+MIN(MOD(MONTH(Output!O$17)-MONTH(Calculations!$D8),12),MOD(MONTH(Output!O$17)-MONTH(Calculations!$G8),12))*Calculations!$P8),0),Calculations!$Q8*Calculations!AP8*(1-Calculations!$R8)+IF(MONTH(O$17)=1,Calculations!$Q8*Calculations!$R8,0))</f>
        <v>0</v>
      </c>
      <c r="P22" s="36">
        <f>IF(Calculations!$D8&lt;&gt;"",IF(AND(P$17&gt;=Calculations!$D8,MIN(MOD(MONTH(Output!P$17)-MONTH(Calculations!$D8),12),MOD(MONTH(Output!P$17)-MONTH(Calculations!$G8),12))&lt;=Inputs!$N11),Calculations!$Q8/Calculations!$S8/(Inputs!$N11+1)*(1+MIN(MOD(MONTH(Output!P$17)-MONTH(Calculations!$D8),12),MOD(MONTH(Output!P$17)-MONTH(Calculations!$G8),12))*Calculations!$P8),0),Calculations!$Q8*Calculations!AQ8*(1-Calculations!$R8)+IF(MONTH(P$17)=1,Calculations!$Q8*Calculations!$R8,0))</f>
        <v>0</v>
      </c>
      <c r="Q22" s="36">
        <f>IF(Calculations!$D8&lt;&gt;"",IF(AND(Q$17&gt;=Calculations!$D8,MIN(MOD(MONTH(Output!Q$17)-MONTH(Calculations!$D8),12),MOD(MONTH(Output!Q$17)-MONTH(Calculations!$G8),12))&lt;=Inputs!$N11),Calculations!$Q8/Calculations!$S8/(Inputs!$N11+1)*(1+MIN(MOD(MONTH(Output!Q$17)-MONTH(Calculations!$D8),12),MOD(MONTH(Output!Q$17)-MONTH(Calculations!$G8),12))*Calculations!$P8),0),Calculations!$Q8*Calculations!AR8*(1-Calculations!$R8)+IF(MONTH(Q$17)=1,Calculations!$Q8*Calculations!$R8,0))</f>
        <v>0</v>
      </c>
      <c r="R22" s="36">
        <f>IF(Calculations!$D8&lt;&gt;"",IF(AND(R$17&gt;=Calculations!$D8,MIN(MOD(MONTH(Output!R$17)-MONTH(Calculations!$D8),12),MOD(MONTH(Output!R$17)-MONTH(Calculations!$G8),12))&lt;=Inputs!$N11),Calculations!$Q8/Calculations!$S8/(Inputs!$N11+1)*(1+MIN(MOD(MONTH(Output!R$17)-MONTH(Calculations!$D8),12),MOD(MONTH(Output!R$17)-MONTH(Calculations!$G8),12))*Calculations!$P8),0),Calculations!$Q8*Calculations!AS8*(1-Calculations!$R8)+IF(MONTH(R$17)=1,Calculations!$Q8*Calculations!$R8,0))</f>
        <v>0</v>
      </c>
      <c r="S22" s="36">
        <f>IF(Calculations!$D8&lt;&gt;"",IF(AND(S$17&gt;=Calculations!$D8,MIN(MOD(MONTH(Output!S$17)-MONTH(Calculations!$D8),12),MOD(MONTH(Output!S$17)-MONTH(Calculations!$G8),12))&lt;=Inputs!$N11),Calculations!$Q8/Calculations!$S8/(Inputs!$N11+1)*(1+MIN(MOD(MONTH(Output!S$17)-MONTH(Calculations!$D8),12),MOD(MONTH(Output!S$17)-MONTH(Calculations!$G8),12))*Calculations!$P8),0),Calculations!$Q8*Calculations!AT8*(1-Calculations!$R8)+IF(MONTH(S$17)=1,Calculations!$Q8*Calculations!$R8,0))</f>
        <v>0</v>
      </c>
      <c r="T22" s="36">
        <f>IF(Calculations!$D8&lt;&gt;"",IF(AND(T$17&gt;=Calculations!$D8,MIN(MOD(MONTH(Output!T$17)-MONTH(Calculations!$D8),12),MOD(MONTH(Output!T$17)-MONTH(Calculations!$G8),12))&lt;=Inputs!$N11),Calculations!$Q8/Calculations!$S8/(Inputs!$N11+1)*(1+MIN(MOD(MONTH(Output!T$17)-MONTH(Calculations!$D8),12),MOD(MONTH(Output!T$17)-MONTH(Calculations!$G8),12))*Calculations!$P8),0),Calculations!$Q8*Calculations!AU8*(1-Calculations!$R8)+IF(MONTH(T$17)=1,Calculations!$Q8*Calculations!$R8,0))</f>
        <v>0</v>
      </c>
      <c r="U22" s="36">
        <f>IF(Calculations!$D8&lt;&gt;"",IF(AND(U$17&gt;=Calculations!$D8,MIN(MOD(MONTH(Output!U$17)-MONTH(Calculations!$D8),12),MOD(MONTH(Output!U$17)-MONTH(Calculations!$G8),12))&lt;=Inputs!$N11),Calculations!$Q8/Calculations!$S8/(Inputs!$N11+1)*(1+MIN(MOD(MONTH(Output!U$17)-MONTH(Calculations!$D8),12),MOD(MONTH(Output!U$17)-MONTH(Calculations!$G8),12))*Calculations!$P8),0),Calculations!$Q8*Calculations!AV8*(1-Calculations!$R8)+IF(MONTH(U$17)=1,Calculations!$Q8*Calculations!$R8,0))</f>
        <v>0</v>
      </c>
      <c r="V22" s="36">
        <f>IF(Calculations!$D8&lt;&gt;"",IF(AND(V$17&gt;=Calculations!$D8,MIN(MOD(MONTH(Output!V$17)-MONTH(Calculations!$D8),12),MOD(MONTH(Output!V$17)-MONTH(Calculations!$G8),12))&lt;=Inputs!$N11),Calculations!$Q8/Calculations!$S8/(Inputs!$N11+1)*(1+MIN(MOD(MONTH(Output!V$17)-MONTH(Calculations!$D8),12),MOD(MONTH(Output!V$17)-MONTH(Calculations!$G8),12))*Calculations!$P8),0),Calculations!$Q8*Calculations!AW8*(1-Calculations!$R8)+IF(MONTH(V$17)=1,Calculations!$Q8*Calculations!$R8,0))</f>
        <v>0</v>
      </c>
      <c r="W22" s="36">
        <f>IF(Calculations!$D8&lt;&gt;"",IF(AND(W$17&gt;=Calculations!$D8,MIN(MOD(MONTH(Output!W$17)-MONTH(Calculations!$D8),12),MOD(MONTH(Output!W$17)-MONTH(Calculations!$G8),12))&lt;=Inputs!$N11),Calculations!$Q8/Calculations!$S8/(Inputs!$N11+1)*(1+MIN(MOD(MONTH(Output!W$17)-MONTH(Calculations!$D8),12),MOD(MONTH(Output!W$17)-MONTH(Calculations!$G8),12))*Calculations!$P8),0),Calculations!$Q8*Calculations!AX8*(1-Calculations!$R8)+IF(MONTH(W$17)=1,Calculations!$Q8*Calculations!$R8,0))</f>
        <v>0</v>
      </c>
      <c r="X22" s="36">
        <f>IF(Calculations!$D8&lt;&gt;"",IF(AND(X$17&gt;=Calculations!$D8,MIN(MOD(MONTH(Output!X$17)-MONTH(Calculations!$D8),12),MOD(MONTH(Output!X$17)-MONTH(Calculations!$G8),12))&lt;=Inputs!$N11),Calculations!$Q8/Calculations!$S8/(Inputs!$N11+1)*(1+MIN(MOD(MONTH(Output!X$17)-MONTH(Calculations!$D8),12),MOD(MONTH(Output!X$17)-MONTH(Calculations!$G8),12))*Calculations!$P8),0),Calculations!$Q8*Calculations!AY8*(1-Calculations!$R8)+IF(MONTH(X$17)=1,Calculations!$Q8*Calculations!$R8,0))</f>
        <v>0</v>
      </c>
      <c r="Y22" s="36">
        <f>IF(Calculations!$D8&lt;&gt;"",IF(AND(Y$17&gt;=Calculations!$D8,MIN(MOD(MONTH(Output!Y$17)-MONTH(Calculations!$D8),12),MOD(MONTH(Output!Y$17)-MONTH(Calculations!$G8),12))&lt;=Inputs!$N11),Calculations!$Q8/Calculations!$S8/(Inputs!$N11+1)*(1+MIN(MOD(MONTH(Output!Y$17)-MONTH(Calculations!$D8),12),MOD(MONTH(Output!Y$17)-MONTH(Calculations!$G8),12))*Calculations!$P8),0),Calculations!$Q8*Calculations!AZ8*(1-Calculations!$R8)+IF(MONTH(Y$17)=1,Calculations!$Q8*Calculations!$R8,0))</f>
        <v>0</v>
      </c>
      <c r="Z22" s="36">
        <f>SUMIF($B$13:$Y$13,"Yes",B22:Y22)</f>
        <v>0</v>
      </c>
      <c r="AA22" s="36">
        <f>SUM(B22:M22)</f>
        <v>0</v>
      </c>
      <c r="AB22" s="46">
        <f>SUM(B22:Y22)</f>
        <v>0</v>
      </c>
    </row>
    <row r="23" spans="1:30" customHeight="1" ht="4.5">
      <c r="A23" s="43"/>
      <c r="B23" s="36"/>
      <c r="C23" s="36"/>
      <c r="D23" s="36"/>
      <c r="E23" s="36"/>
      <c r="F23" s="36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>
        <f>SUM(IF($B$9:$Y$9+$B$10:$Y$10&gt;0,B23:Y23,0))</f>
        <v>0</v>
      </c>
      <c r="AA23" s="36"/>
      <c r="AB23" s="46">
        <f>AB76-AB104</f>
        <v>8800.000000000002</v>
      </c>
    </row>
    <row r="24" spans="1:30">
      <c r="A24" s="43" t="str">
        <f>IF(Inputs!A19="","",IF(Inputs!A19=Parameters!$A$30,Inputs!B19,Inputs!A19))</f>
        <v>Cows_beef</v>
      </c>
      <c r="B24" s="36">
        <f>IFERROR(Calculations!$P14/12,"")</f>
        <v>1533.333333333333</v>
      </c>
      <c r="C24" s="36">
        <f>IFERROR(Calculations!$P14/12,"")</f>
        <v>1533.333333333333</v>
      </c>
      <c r="D24" s="36">
        <f>IFERROR(Calculations!$P14/12,"")</f>
        <v>1533.333333333333</v>
      </c>
      <c r="E24" s="36">
        <f>IFERROR(Calculations!$P14/12,"")</f>
        <v>1533.333333333333</v>
      </c>
      <c r="F24" s="36">
        <f>IFERROR(Calculations!$P14/12,"")</f>
        <v>1533.333333333333</v>
      </c>
      <c r="G24" s="36">
        <f>IFERROR(Calculations!$P14/12,"")</f>
        <v>1533.333333333333</v>
      </c>
      <c r="H24" s="36">
        <f>IFERROR(Calculations!$P14/12,"")</f>
        <v>1533.333333333333</v>
      </c>
      <c r="I24" s="36">
        <f>IFERROR(Calculations!$P14/12,"")</f>
        <v>1533.333333333333</v>
      </c>
      <c r="J24" s="36">
        <f>IFERROR(Calculations!$P14/12,"")</f>
        <v>1533.333333333333</v>
      </c>
      <c r="K24" s="36">
        <f>IFERROR(Calculations!$P14/12,"")</f>
        <v>1533.333333333333</v>
      </c>
      <c r="L24" s="36">
        <f>IFERROR(Calculations!$P14/12,"")</f>
        <v>1533.333333333333</v>
      </c>
      <c r="M24" s="36">
        <f>IFERROR(Calculations!$P14/12,"")</f>
        <v>1533.333333333333</v>
      </c>
      <c r="N24" s="36">
        <f>IFERROR(Calculations!$P14/12,"")</f>
        <v>1533.333333333333</v>
      </c>
      <c r="O24" s="36">
        <f>IFERROR(Calculations!$P14/12,"")</f>
        <v>1533.333333333333</v>
      </c>
      <c r="P24" s="36">
        <f>IFERROR(Calculations!$P14/12,"")</f>
        <v>1533.333333333333</v>
      </c>
      <c r="Q24" s="36">
        <f>IFERROR(Calculations!$P14/12,"")</f>
        <v>1533.333333333333</v>
      </c>
      <c r="R24" s="36">
        <f>IFERROR(Calculations!$P14/12,"")</f>
        <v>1533.333333333333</v>
      </c>
      <c r="S24" s="36">
        <f>IFERROR(Calculations!$P14/12,"")</f>
        <v>1533.333333333333</v>
      </c>
      <c r="T24" s="36">
        <f>IFERROR(Calculations!$P14/12,"")</f>
        <v>1533.333333333333</v>
      </c>
      <c r="U24" s="36">
        <f>IFERROR(Calculations!$P14/12,"")</f>
        <v>1533.333333333333</v>
      </c>
      <c r="V24" s="36">
        <f>IFERROR(Calculations!$P14/12,"")</f>
        <v>1533.333333333333</v>
      </c>
      <c r="W24" s="36">
        <f>IFERROR(Calculations!$P14/12,"")</f>
        <v>1533.333333333333</v>
      </c>
      <c r="X24" s="36">
        <f>IFERROR(Calculations!$P14/12,"")</f>
        <v>1533.333333333333</v>
      </c>
      <c r="Y24" s="36">
        <f>IFERROR(Calculations!$P14/12,"")</f>
        <v>1533.333333333333</v>
      </c>
      <c r="Z24" s="36">
        <f>SUMIF($B$13:$Y$13,"Yes",B24:Y24)</f>
        <v>19933.33333333333</v>
      </c>
      <c r="AA24" s="36">
        <f>SUM(B24:M24)</f>
        <v>18400</v>
      </c>
      <c r="AB24" s="46">
        <f>SUM(B24:Y24)</f>
        <v>36799.99999999999</v>
      </c>
    </row>
    <row r="25" spans="1:30">
      <c r="A25" s="43" t="str">
        <f>IF(Inputs!A20="","",IF(Inputs!A20=Parameters!$A$30,Inputs!B20,Inputs!A20))</f>
        <v>Goat</v>
      </c>
      <c r="B25" s="36">
        <f>IFERROR(Calculations!$P15/12,"")</f>
        <v>833.3333333333334</v>
      </c>
      <c r="C25" s="36">
        <f>IFERROR(Calculations!$P15/12,"")</f>
        <v>833.3333333333334</v>
      </c>
      <c r="D25" s="36">
        <f>IFERROR(Calculations!$P15/12,"")</f>
        <v>833.3333333333334</v>
      </c>
      <c r="E25" s="36">
        <f>IFERROR(Calculations!$P15/12,"")</f>
        <v>833.3333333333334</v>
      </c>
      <c r="F25" s="36">
        <f>IFERROR(Calculations!$P15/12,"")</f>
        <v>833.3333333333334</v>
      </c>
      <c r="G25" s="36">
        <f>IFERROR(Calculations!$P15/12,"")</f>
        <v>833.3333333333334</v>
      </c>
      <c r="H25" s="36">
        <f>IFERROR(Calculations!$P15/12,"")</f>
        <v>833.3333333333334</v>
      </c>
      <c r="I25" s="36">
        <f>IFERROR(Calculations!$P15/12,"")</f>
        <v>833.3333333333334</v>
      </c>
      <c r="J25" s="36">
        <f>IFERROR(Calculations!$P15/12,"")</f>
        <v>833.3333333333334</v>
      </c>
      <c r="K25" s="36">
        <f>IFERROR(Calculations!$P15/12,"")</f>
        <v>833.3333333333334</v>
      </c>
      <c r="L25" s="36">
        <f>IFERROR(Calculations!$P15/12,"")</f>
        <v>833.3333333333334</v>
      </c>
      <c r="M25" s="36">
        <f>IFERROR(Calculations!$P15/12,"")</f>
        <v>833.3333333333334</v>
      </c>
      <c r="N25" s="36">
        <f>IFERROR(Calculations!$P15/12,"")</f>
        <v>833.3333333333334</v>
      </c>
      <c r="O25" s="36">
        <f>IFERROR(Calculations!$P15/12,"")</f>
        <v>833.3333333333334</v>
      </c>
      <c r="P25" s="36">
        <f>IFERROR(Calculations!$P15/12,"")</f>
        <v>833.3333333333334</v>
      </c>
      <c r="Q25" s="36">
        <f>IFERROR(Calculations!$P15/12,"")</f>
        <v>833.3333333333334</v>
      </c>
      <c r="R25" s="36">
        <f>IFERROR(Calculations!$P15/12,"")</f>
        <v>833.3333333333334</v>
      </c>
      <c r="S25" s="36">
        <f>IFERROR(Calculations!$P15/12,"")</f>
        <v>833.3333333333334</v>
      </c>
      <c r="T25" s="36">
        <f>IFERROR(Calculations!$P15/12,"")</f>
        <v>833.3333333333334</v>
      </c>
      <c r="U25" s="36">
        <f>IFERROR(Calculations!$P15/12,"")</f>
        <v>833.3333333333334</v>
      </c>
      <c r="V25" s="36">
        <f>IFERROR(Calculations!$P15/12,"")</f>
        <v>833.3333333333334</v>
      </c>
      <c r="W25" s="36">
        <f>IFERROR(Calculations!$P15/12,"")</f>
        <v>833.3333333333334</v>
      </c>
      <c r="X25" s="36">
        <f>IFERROR(Calculations!$P15/12,"")</f>
        <v>833.3333333333334</v>
      </c>
      <c r="Y25" s="36">
        <f>IFERROR(Calculations!$P15/12,"")</f>
        <v>833.3333333333334</v>
      </c>
      <c r="Z25" s="36">
        <f>SUMIF($B$13:$Y$13,"Yes",B25:Y25)</f>
        <v>10833.33333333333</v>
      </c>
      <c r="AA25" s="36">
        <f>SUM(B25:M25)</f>
        <v>10000</v>
      </c>
      <c r="AB25" s="46">
        <f>SUM(B25:Y25)</f>
        <v>20000</v>
      </c>
    </row>
    <row r="26" spans="1:30">
      <c r="A26" s="43" t="str">
        <f>IF(Inputs!A21="","",IF(Inputs!A21=Parameters!$A$30,Inputs!B21,Inputs!A21))</f>
        <v/>
      </c>
      <c r="B26" s="36" t="str">
        <f>IFERROR(Calculations!$P16/12,"")</f>
        <v/>
      </c>
      <c r="C26" s="36" t="str">
        <f>IFERROR(Calculations!$P16/12,"")</f>
        <v/>
      </c>
      <c r="D26" s="36" t="str">
        <f>IFERROR(Calculations!$P16/12,"")</f>
        <v/>
      </c>
      <c r="E26" s="36" t="str">
        <f>IFERROR(Calculations!$P16/12,"")</f>
        <v/>
      </c>
      <c r="F26" s="36" t="str">
        <f>IFERROR(Calculations!$P16/12,"")</f>
        <v/>
      </c>
      <c r="G26" s="36" t="str">
        <f>IFERROR(Calculations!$P16/12,"")</f>
        <v/>
      </c>
      <c r="H26" s="36" t="str">
        <f>IFERROR(Calculations!$P16/12,"")</f>
        <v/>
      </c>
      <c r="I26" s="36" t="str">
        <f>IFERROR(Calculations!$P16/12,"")</f>
        <v/>
      </c>
      <c r="J26" s="36" t="str">
        <f>IFERROR(Calculations!$P16/12,"")</f>
        <v/>
      </c>
      <c r="K26" s="36" t="str">
        <f>IFERROR(Calculations!$P16/12,"")</f>
        <v/>
      </c>
      <c r="L26" s="36" t="str">
        <f>IFERROR(Calculations!$P16/12,"")</f>
        <v/>
      </c>
      <c r="M26" s="36" t="str">
        <f>IFERROR(Calculations!$P16/12,"")</f>
        <v/>
      </c>
      <c r="N26" s="36" t="str">
        <f>IFERROR(Calculations!$P16/12,"")</f>
        <v/>
      </c>
      <c r="O26" s="36" t="str">
        <f>IFERROR(Calculations!$P16/12,"")</f>
        <v/>
      </c>
      <c r="P26" s="36" t="str">
        <f>IFERROR(Calculations!$P16/12,"")</f>
        <v/>
      </c>
      <c r="Q26" s="36" t="str">
        <f>IFERROR(Calculations!$P16/12,"")</f>
        <v/>
      </c>
      <c r="R26" s="36" t="str">
        <f>IFERROR(Calculations!$P16/12,"")</f>
        <v/>
      </c>
      <c r="S26" s="36" t="str">
        <f>IFERROR(Calculations!$P16/12,"")</f>
        <v/>
      </c>
      <c r="T26" s="36" t="str">
        <f>IFERROR(Calculations!$P16/12,"")</f>
        <v/>
      </c>
      <c r="U26" s="36" t="str">
        <f>IFERROR(Calculations!$P16/12,"")</f>
        <v/>
      </c>
      <c r="V26" s="36" t="str">
        <f>IFERROR(Calculations!$P16/12,"")</f>
        <v/>
      </c>
      <c r="W26" s="36" t="str">
        <f>IFERROR(Calculations!$P16/12,"")</f>
        <v/>
      </c>
      <c r="X26" s="36" t="str">
        <f>IFERROR(Calculations!$P16/12,"")</f>
        <v/>
      </c>
      <c r="Y26" s="36" t="str">
        <f>IFERROR(Calculations!$P16/12,"")</f>
        <v/>
      </c>
      <c r="Z26" s="36">
        <f>SUMIF($B$13:$Y$13,"Yes",B26:Y26)</f>
        <v>0</v>
      </c>
      <c r="AA26" s="36">
        <f>SUM(B26:M26)</f>
        <v>0</v>
      </c>
      <c r="AB26" s="46">
        <f>SUM(B26:Y26)</f>
        <v>0</v>
      </c>
    </row>
    <row r="27" spans="1:30">
      <c r="A27" s="43" t="str">
        <f>Calculations!C17</f>
        <v/>
      </c>
      <c r="B27" s="36">
        <f>IF(B17=Calculations!$L$17,Calculations!$P$17,0)</f>
        <v>0</v>
      </c>
      <c r="C27" s="36">
        <f>IF(C17=Calculations!$L$17,Calculations!$P$17,0)</f>
        <v>0</v>
      </c>
      <c r="D27" s="36">
        <f>IF(D17=Calculations!$L$17,Calculations!$P$17,0)</f>
        <v>0</v>
      </c>
      <c r="E27" s="36">
        <f>IF(E17=Calculations!$L$17,Calculations!$P$17,0)</f>
        <v>0</v>
      </c>
      <c r="F27" s="36">
        <f>IF(F17=Calculations!$L$17,Calculations!$P$17,0)</f>
        <v>0</v>
      </c>
      <c r="G27" s="36">
        <f>IF(G17=Calculations!$L$17,Calculations!$P$17,0)</f>
        <v>0</v>
      </c>
      <c r="H27" s="36">
        <f>IF(H17=Calculations!$L$17,Calculations!$P$17,0)</f>
        <v>0</v>
      </c>
      <c r="I27" s="36">
        <f>IF(I17=Calculations!$L$17,Calculations!$P$17,0)</f>
        <v>0</v>
      </c>
      <c r="J27" s="36">
        <f>IF(J17=Calculations!$L$17,Calculations!$P$17,0)</f>
        <v>0</v>
      </c>
      <c r="K27" s="36">
        <f>IF(K17=Calculations!$L$17,Calculations!$P$17,0)</f>
        <v>0</v>
      </c>
      <c r="L27" s="36">
        <f>IF(L17=Calculations!$L$17,Calculations!$P$17,0)</f>
        <v>0</v>
      </c>
      <c r="M27" s="36">
        <f>IF(M17=Calculations!$L$17,Calculations!$P$17,0)</f>
        <v>0</v>
      </c>
      <c r="N27" s="36">
        <f>IF(N17=Calculations!$L$17,Calculations!$P$17,0)</f>
        <v>0</v>
      </c>
      <c r="O27" s="36">
        <f>IF(O17=Calculations!$L$17,Calculations!$P$17,0)</f>
        <v>0</v>
      </c>
      <c r="P27" s="36">
        <f>IF(P17=Calculations!$L$17,Calculations!$P$17,0)</f>
        <v>0</v>
      </c>
      <c r="Q27" s="36">
        <f>IF(Q17=Calculations!$L$17,Calculations!$P$17,0)</f>
        <v>0</v>
      </c>
      <c r="R27" s="36">
        <f>IF(R17=Calculations!$L$17,Calculations!$P$17,0)</f>
        <v>0</v>
      </c>
      <c r="S27" s="36">
        <f>IF(S17=Calculations!$L$17,Calculations!$P$17,0)</f>
        <v>0</v>
      </c>
      <c r="T27" s="36">
        <f>IF(T17=Calculations!$L$17,Calculations!$P$17,0)</f>
        <v>0</v>
      </c>
      <c r="U27" s="36">
        <f>IF(U17=Calculations!$L$17,Calculations!$P$17,0)</f>
        <v>0</v>
      </c>
      <c r="V27" s="36">
        <f>IF(V17=Calculations!$L$17,Calculations!$P$17,0)</f>
        <v>0</v>
      </c>
      <c r="W27" s="36">
        <f>IF(W17=Calculations!$L$17,Calculations!$P$17,0)</f>
        <v>0</v>
      </c>
      <c r="X27" s="36">
        <f>IF(X17=Calculations!$L$17,Calculations!$P$17,0)</f>
        <v>0</v>
      </c>
      <c r="Y27" s="36">
        <f>IF(Y17=Calculations!$L$17,Calculations!$P$17,0)</f>
        <v>0</v>
      </c>
      <c r="Z27" s="36">
        <f>SUMIF($B$13:$Y$13,"Yes",B27:Y27)</f>
        <v>0</v>
      </c>
      <c r="AA27" s="36">
        <f>SUM(B27:M27)</f>
        <v>0</v>
      </c>
      <c r="AB27" s="46">
        <f>SUM(B27:Y27)</f>
        <v>0</v>
      </c>
    </row>
    <row r="28" spans="1:30" customHeight="1" ht="3.75">
      <c r="A28" s="43"/>
      <c r="B28" s="36"/>
      <c r="C28" s="36"/>
      <c r="D28" s="36"/>
      <c r="E28" s="36"/>
      <c r="F28" s="36"/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>
        <f>SUM(IF($B$9:$S$9+$B$10:$S$10&gt;0,B28:S28,0))</f>
        <v>0</v>
      </c>
      <c r="AA28" s="36"/>
      <c r="AB28" s="46"/>
    </row>
    <row r="29" spans="1:30" customHeight="1" ht="15.75">
      <c r="A29" s="18" t="s">
        <v>36</v>
      </c>
      <c r="B29" s="37">
        <f>Inputs!$B$30</f>
        <v>15000</v>
      </c>
      <c r="C29" s="37">
        <f>Inputs!$B$30</f>
        <v>15000</v>
      </c>
      <c r="D29" s="37">
        <f>Inputs!$B$30</f>
        <v>15000</v>
      </c>
      <c r="E29" s="37">
        <f>Inputs!$B$30</f>
        <v>15000</v>
      </c>
      <c r="F29" s="37">
        <f>Inputs!$B$30</f>
        <v>15000</v>
      </c>
      <c r="G29" s="37">
        <f>Inputs!$B$30</f>
        <v>15000</v>
      </c>
      <c r="H29" s="37">
        <f>Inputs!$B$30</f>
        <v>15000</v>
      </c>
      <c r="I29" s="37">
        <f>Inputs!$B$30</f>
        <v>15000</v>
      </c>
      <c r="J29" s="37">
        <f>Inputs!$B$30</f>
        <v>15000</v>
      </c>
      <c r="K29" s="37">
        <f>Inputs!$B$30</f>
        <v>15000</v>
      </c>
      <c r="L29" s="37">
        <f>Inputs!$B$30</f>
        <v>15000</v>
      </c>
      <c r="M29" s="37">
        <f>Inputs!$B$30</f>
        <v>15000</v>
      </c>
      <c r="N29" s="37">
        <f>Inputs!$B$30</f>
        <v>15000</v>
      </c>
      <c r="O29" s="37">
        <f>Inputs!$B$30</f>
        <v>15000</v>
      </c>
      <c r="P29" s="37">
        <f>Inputs!$B$30</f>
        <v>15000</v>
      </c>
      <c r="Q29" s="37">
        <f>Inputs!$B$30</f>
        <v>15000</v>
      </c>
      <c r="R29" s="37">
        <f>Inputs!$B$30</f>
        <v>15000</v>
      </c>
      <c r="S29" s="37">
        <f>Inputs!$B$30</f>
        <v>15000</v>
      </c>
      <c r="T29" s="37">
        <f>Inputs!$B$30</f>
        <v>15000</v>
      </c>
      <c r="U29" s="37">
        <f>Inputs!$B$30</f>
        <v>15000</v>
      </c>
      <c r="V29" s="37">
        <f>Inputs!$B$30</f>
        <v>15000</v>
      </c>
      <c r="W29" s="37">
        <f>Inputs!$B$30</f>
        <v>15000</v>
      </c>
      <c r="X29" s="37">
        <f>Inputs!$B$30</f>
        <v>15000</v>
      </c>
      <c r="Y29" s="37">
        <f>Inputs!$B$30</f>
        <v>15000</v>
      </c>
      <c r="Z29" s="37">
        <f>SUMIF($B$13:$Y$13,"Yes",B29:Y29)</f>
        <v>195000</v>
      </c>
      <c r="AA29" s="37">
        <f>SUM(B29:M29)</f>
        <v>180000</v>
      </c>
      <c r="AB29" s="37">
        <f>SUM(B29:Y29)</f>
        <v>360000</v>
      </c>
    </row>
    <row r="30" spans="1:30" customHeight="1" ht="15.75">
      <c r="A30" s="1" t="s">
        <v>37</v>
      </c>
      <c r="B30" s="19">
        <f>SUM(B18:B29)</f>
        <v>27777.04496666667</v>
      </c>
      <c r="C30" s="19">
        <f>SUM(C18:C29)</f>
        <v>27777.04496666667</v>
      </c>
      <c r="D30" s="19">
        <f>SUM(D18:D29)</f>
        <v>27777.04496666667</v>
      </c>
      <c r="E30" s="19">
        <f>SUM(E18:E29)</f>
        <v>27777.04496666667</v>
      </c>
      <c r="F30" s="19">
        <f>SUM(F18:F29)</f>
        <v>27777.04496666667</v>
      </c>
      <c r="G30" s="19">
        <f>SUM(G18:G29)</f>
        <v>36565.54496666667</v>
      </c>
      <c r="H30" s="19">
        <f>SUM(H18:H29)</f>
        <v>27777.04496666667</v>
      </c>
      <c r="I30" s="19">
        <f>SUM(I18:I29)</f>
        <v>27777.04496666667</v>
      </c>
      <c r="J30" s="19">
        <f>SUM(J18:J29)</f>
        <v>27777.04496666667</v>
      </c>
      <c r="K30" s="19">
        <f>SUM(K18:K29)</f>
        <v>27777.04496666667</v>
      </c>
      <c r="L30" s="19">
        <f>SUM(L18:L29)</f>
        <v>27777.04496666667</v>
      </c>
      <c r="M30" s="19">
        <f>SUM(M18:M29)</f>
        <v>36565.54496666667</v>
      </c>
      <c r="N30" s="19">
        <f>SUM(N18:N29)</f>
        <v>27777.04496666667</v>
      </c>
      <c r="O30" s="19">
        <f>SUM(O18:O29)</f>
        <v>27777.04496666667</v>
      </c>
      <c r="P30" s="19">
        <f>SUM(P18:P29)</f>
        <v>27777.04496666667</v>
      </c>
      <c r="Q30" s="19">
        <f>SUM(Q18:Q29)</f>
        <v>27777.04496666667</v>
      </c>
      <c r="R30" s="19">
        <f>SUM(R18:R29)</f>
        <v>27777.04496666667</v>
      </c>
      <c r="S30" s="19">
        <f>SUM(S18:S29)</f>
        <v>36565.54496666667</v>
      </c>
      <c r="T30" s="19">
        <f>SUM(T18:T29)</f>
        <v>27777.04496666667</v>
      </c>
      <c r="U30" s="19">
        <f>SUM(U18:U29)</f>
        <v>27777.04496666667</v>
      </c>
      <c r="V30" s="19">
        <f>SUM(V18:V29)</f>
        <v>27777.04496666667</v>
      </c>
      <c r="W30" s="19">
        <f>SUM(W18:W29)</f>
        <v>27777.04496666667</v>
      </c>
      <c r="X30" s="19">
        <f>SUM(X18:X29)</f>
        <v>27777.04496666667</v>
      </c>
      <c r="Y30" s="19">
        <f>SUM(Y18:Y29)</f>
        <v>36565.54496666667</v>
      </c>
      <c r="Z30" s="19">
        <f>SUMIF($B$13:$Y$13,"Yes",B30:Y30)</f>
        <v>378678.5845666667</v>
      </c>
      <c r="AA30" s="19">
        <f>SUM(B30:M30)</f>
        <v>350901.5396</v>
      </c>
      <c r="AB30" s="19">
        <f>SUM(B30:Y30)</f>
        <v>701803.0792000003</v>
      </c>
      <c r="AC30" s="1"/>
      <c r="AD30" s="1"/>
    </row>
    <row r="31" spans="1:30">
      <c r="B31" s="36"/>
      <c r="C31" s="36"/>
      <c r="D31" s="36"/>
      <c r="E31" s="36"/>
      <c r="F31" s="36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</row>
    <row r="32" spans="1:30">
      <c r="B32" s="36"/>
      <c r="C32" s="36"/>
      <c r="D32" s="36"/>
      <c r="E32" s="36"/>
      <c r="F32" s="36"/>
      <c r="G32" s="36"/>
      <c r="H32" s="36"/>
      <c r="I32" s="36"/>
      <c r="J32" s="36"/>
      <c r="K32" s="36"/>
      <c r="L32" s="36"/>
    </row>
    <row r="33" spans="1:30">
      <c r="A33" s="3" t="s">
        <v>38</v>
      </c>
      <c r="B33" s="9"/>
      <c r="C33" s="9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4"/>
    </row>
    <row r="35" spans="1:30">
      <c r="A35" s="5" t="s">
        <v>35</v>
      </c>
      <c r="B35" s="17">
        <f>B17</f>
        <v>42917</v>
      </c>
      <c r="C35" s="17">
        <f>C17</f>
        <v>42948</v>
      </c>
      <c r="D35" s="17">
        <f>D17</f>
        <v>42979</v>
      </c>
      <c r="E35" s="17">
        <f>E17</f>
        <v>43009</v>
      </c>
      <c r="F35" s="17">
        <f>F17</f>
        <v>43040</v>
      </c>
      <c r="G35" s="17">
        <f>G17</f>
        <v>43070</v>
      </c>
      <c r="H35" s="17">
        <f>H17</f>
        <v>43101</v>
      </c>
      <c r="I35" s="17">
        <f>I17</f>
        <v>43132</v>
      </c>
      <c r="J35" s="17">
        <f>J17</f>
        <v>43160</v>
      </c>
      <c r="K35" s="17">
        <f>K17</f>
        <v>43191</v>
      </c>
      <c r="L35" s="17">
        <f>L17</f>
        <v>43221</v>
      </c>
      <c r="M35" s="17">
        <f>M17</f>
        <v>43252</v>
      </c>
      <c r="N35" s="17">
        <f>N17</f>
        <v>43282</v>
      </c>
      <c r="O35" s="17">
        <f>O17</f>
        <v>43313</v>
      </c>
      <c r="P35" s="17">
        <f>P17</f>
        <v>43344</v>
      </c>
      <c r="Q35" s="17">
        <f>Q17</f>
        <v>43374</v>
      </c>
      <c r="R35" s="17">
        <f>R17</f>
        <v>43405</v>
      </c>
      <c r="S35" s="17">
        <f>S17</f>
        <v>43435</v>
      </c>
      <c r="T35" s="17">
        <f>T17</f>
        <v>43466</v>
      </c>
      <c r="U35" s="17">
        <f>U17</f>
        <v>43497</v>
      </c>
      <c r="V35" s="17">
        <f>V17</f>
        <v>43525</v>
      </c>
      <c r="W35" s="17">
        <f>W17</f>
        <v>43556</v>
      </c>
      <c r="X35" s="17">
        <f>X17</f>
        <v>43586</v>
      </c>
      <c r="Y35" s="17">
        <f>Y17</f>
        <v>43617</v>
      </c>
      <c r="Z35" s="47" t="str">
        <f>Z17</f>
        <v>Total during loan period</v>
      </c>
      <c r="AA35" s="47" t="s">
        <v>25</v>
      </c>
      <c r="AB35" s="47" t="str">
        <f>AB17</f>
        <v>Total 24 months</v>
      </c>
    </row>
    <row r="36" spans="1:30">
      <c r="A36" t="s">
        <v>39</v>
      </c>
      <c r="B36" s="36">
        <f>N36</f>
        <v>166.6666666666667</v>
      </c>
      <c r="C36" s="36">
        <f>O36</f>
        <v>4166.666666666666</v>
      </c>
      <c r="D36" s="36">
        <f>P36</f>
        <v>166.6666666666667</v>
      </c>
      <c r="E36" s="36">
        <f>Q36</f>
        <v>166.6666666666667</v>
      </c>
      <c r="F36" s="36">
        <f>R36</f>
        <v>166.6666666666667</v>
      </c>
      <c r="G36" s="36">
        <f>S36</f>
        <v>166.6666666666667</v>
      </c>
      <c r="H36" s="36">
        <f>T36</f>
        <v>166.6666666666667</v>
      </c>
      <c r="I36" s="36">
        <f>U36</f>
        <v>2166.666666666667</v>
      </c>
      <c r="J36" s="36">
        <f>V36</f>
        <v>166.6666666666667</v>
      </c>
      <c r="K36" s="36">
        <f>W36</f>
        <v>166.6666666666667</v>
      </c>
      <c r="L36" s="36">
        <f>X36</f>
        <v>166.6666666666667</v>
      </c>
      <c r="M36" s="36">
        <f>Y36</f>
        <v>166.6666666666667</v>
      </c>
      <c r="N36" s="36">
        <f>SUM(N37:N41)</f>
        <v>166.6666666666667</v>
      </c>
      <c r="O36" s="36">
        <f>SUM(O37:O41)</f>
        <v>4166.666666666666</v>
      </c>
      <c r="P36" s="36">
        <f>SUM(P37:P41)</f>
        <v>166.6666666666667</v>
      </c>
      <c r="Q36" s="36">
        <f>SUM(Q37:Q41)</f>
        <v>166.6666666666667</v>
      </c>
      <c r="R36" s="36">
        <f>SUM(R37:R41)</f>
        <v>166.6666666666667</v>
      </c>
      <c r="S36" s="36">
        <f>SUM(S37:S41)</f>
        <v>166.6666666666667</v>
      </c>
      <c r="T36" s="36">
        <f>SUM(T37:T41)</f>
        <v>166.6666666666667</v>
      </c>
      <c r="U36" s="36">
        <f>SUM(U37:U41)</f>
        <v>2166.666666666667</v>
      </c>
      <c r="V36" s="36">
        <f>SUM(V37:V41)</f>
        <v>166.6666666666667</v>
      </c>
      <c r="W36" s="36">
        <f>SUM(W37:W41)</f>
        <v>166.6666666666667</v>
      </c>
      <c r="X36" s="36">
        <f>SUM(X37:X41)</f>
        <v>166.6666666666667</v>
      </c>
      <c r="Y36" s="36">
        <f>SUM(Y37:Y41)</f>
        <v>166.6666666666667</v>
      </c>
      <c r="Z36" s="36">
        <f>SUMIF($B$13:$Y$13,"Yes",B36:Y36)</f>
        <v>8166.666666666669</v>
      </c>
      <c r="AA36" s="36">
        <f>SUM(B36:M36)</f>
        <v>8000.000000000002</v>
      </c>
      <c r="AB36" s="36">
        <f>SUM(B36:Y36)</f>
        <v>16000</v>
      </c>
      <c r="AC36" s="73"/>
    </row>
    <row r="37" spans="1:30" hidden="true" outlineLevel="1">
      <c r="A37" s="181" t="str">
        <f>Calculations!$A$4</f>
        <v>Bananas</v>
      </c>
      <c r="B37" s="36">
        <f>N37</f>
        <v>166.6666666666667</v>
      </c>
      <c r="C37" s="36">
        <f>O37</f>
        <v>166.6666666666667</v>
      </c>
      <c r="D37" s="36">
        <f>P37</f>
        <v>166.6666666666667</v>
      </c>
      <c r="E37" s="36">
        <f>Q37</f>
        <v>166.6666666666667</v>
      </c>
      <c r="F37" s="36">
        <f>R37</f>
        <v>166.6666666666667</v>
      </c>
      <c r="G37" s="36">
        <f>S37</f>
        <v>166.6666666666667</v>
      </c>
      <c r="H37" s="36">
        <f>T37</f>
        <v>166.6666666666667</v>
      </c>
      <c r="I37" s="36">
        <f>U37</f>
        <v>166.6666666666667</v>
      </c>
      <c r="J37" s="36">
        <f>V37</f>
        <v>166.6666666666667</v>
      </c>
      <c r="K37" s="36">
        <f>W37</f>
        <v>166.6666666666667</v>
      </c>
      <c r="L37" s="36">
        <f>X37</f>
        <v>166.6666666666667</v>
      </c>
      <c r="M37" s="36">
        <f>Y37</f>
        <v>166.6666666666667</v>
      </c>
      <c r="N37" s="36">
        <f>IF(Calculations!$S4=0,Calculations!$W4/12,IFERROR(IF(MONTH(Calculations!$B4)=MONTH(Output!N$35),Calculations!$W4,0),0)+IFERROR(IF(MONTH(Calculations!$C4)=MONTH(Output!N$35),Calculations!$X4,0),0)+IFERROR(IF(MONTH(Calculations!$E4)=MONTH(Output!N$35),Calculations!$W4,0),0)+IFERROR(IF(MONTH(Calculations!$F4)=MONTH(Output!N$35),Calculations!$X4,0),0))</f>
        <v>166.6666666666667</v>
      </c>
      <c r="O37" s="36">
        <f>IF(Calculations!$S4=0,Calculations!$W4/12,IFERROR(IF(MONTH(Calculations!$B4)=MONTH(Output!O$35),Calculations!$W4,0),0)+IFERROR(IF(MONTH(Calculations!$C4)=MONTH(Output!O$35),Calculations!$X4,0),0)+IFERROR(IF(MONTH(Calculations!$E4)=MONTH(Output!O$35),Calculations!$W4,0),0)+IFERROR(IF(MONTH(Calculations!$F4)=MONTH(Output!O$35),Calculations!$X4,0),0))</f>
        <v>166.6666666666667</v>
      </c>
      <c r="P37" s="36">
        <f>IF(Calculations!$S4=0,Calculations!$W4/12,IFERROR(IF(MONTH(Calculations!$B4)=MONTH(Output!P$35),Calculations!$W4,0),0)+IFERROR(IF(MONTH(Calculations!$C4)=MONTH(Output!P$35),Calculations!$X4,0),0)+IFERROR(IF(MONTH(Calculations!$E4)=MONTH(Output!P$35),Calculations!$W4,0),0)+IFERROR(IF(MONTH(Calculations!$F4)=MONTH(Output!P$35),Calculations!$X4,0),0))</f>
        <v>166.6666666666667</v>
      </c>
      <c r="Q37" s="36">
        <f>IF(Calculations!$S4=0,Calculations!$W4/12,IFERROR(IF(MONTH(Calculations!$B4)=MONTH(Output!Q$35),Calculations!$W4,0),0)+IFERROR(IF(MONTH(Calculations!$C4)=MONTH(Output!Q$35),Calculations!$X4,0),0)+IFERROR(IF(MONTH(Calculations!$E4)=MONTH(Output!Q$35),Calculations!$W4,0),0)+IFERROR(IF(MONTH(Calculations!$F4)=MONTH(Output!Q$35),Calculations!$X4,0),0))</f>
        <v>166.6666666666667</v>
      </c>
      <c r="R37" s="36">
        <f>IF(Calculations!$S4=0,Calculations!$W4/12,IFERROR(IF(MONTH(Calculations!$B4)=MONTH(Output!R$35),Calculations!$W4,0),0)+IFERROR(IF(MONTH(Calculations!$C4)=MONTH(Output!R$35),Calculations!$X4,0),0)+IFERROR(IF(MONTH(Calculations!$E4)=MONTH(Output!R$35),Calculations!$W4,0),0)+IFERROR(IF(MONTH(Calculations!$F4)=MONTH(Output!R$35),Calculations!$X4,0),0))</f>
        <v>166.6666666666667</v>
      </c>
      <c r="S37" s="36">
        <f>IF(Calculations!$S4=0,Calculations!$W4/12,IFERROR(IF(MONTH(Calculations!$B4)=MONTH(Output!S$35),Calculations!$W4,0),0)+IFERROR(IF(MONTH(Calculations!$C4)=MONTH(Output!S$35),Calculations!$X4,0),0)+IFERROR(IF(MONTH(Calculations!$E4)=MONTH(Output!S$35),Calculations!$W4,0),0)+IFERROR(IF(MONTH(Calculations!$F4)=MONTH(Output!S$35),Calculations!$X4,0),0))</f>
        <v>166.6666666666667</v>
      </c>
      <c r="T37" s="36">
        <f>IF(Calculations!$S4=0,Calculations!$W4/12,IFERROR(IF(MONTH(Calculations!$B4)=MONTH(Output!T$35),Calculations!$W4,0),0)+IFERROR(IF(MONTH(Calculations!$C4)=MONTH(Output!T$35),Calculations!$X4,0),0)+IFERROR(IF(MONTH(Calculations!$E4)=MONTH(Output!T$35),Calculations!$W4,0),0)+IFERROR(IF(MONTH(Calculations!$F4)=MONTH(Output!T$35),Calculations!$X4,0),0))</f>
        <v>166.6666666666667</v>
      </c>
      <c r="U37" s="36">
        <f>IF(Calculations!$S4=0,Calculations!$W4/12,IFERROR(IF(MONTH(Calculations!$B4)=MONTH(Output!U$35),Calculations!$W4,0),0)+IFERROR(IF(MONTH(Calculations!$C4)=MONTH(Output!U$35),Calculations!$X4,0),0)+IFERROR(IF(MONTH(Calculations!$E4)=MONTH(Output!U$35),Calculations!$W4,0),0)+IFERROR(IF(MONTH(Calculations!$F4)=MONTH(Output!U$35),Calculations!$X4,0),0))</f>
        <v>166.6666666666667</v>
      </c>
      <c r="V37" s="36">
        <f>IF(Calculations!$S4=0,Calculations!$W4/12,IFERROR(IF(MONTH(Calculations!$B4)=MONTH(Output!V$35),Calculations!$W4,0),0)+IFERROR(IF(MONTH(Calculations!$C4)=MONTH(Output!V$35),Calculations!$X4,0),0)+IFERROR(IF(MONTH(Calculations!$E4)=MONTH(Output!V$35),Calculations!$W4,0),0)+IFERROR(IF(MONTH(Calculations!$F4)=MONTH(Output!V$35),Calculations!$X4,0),0))</f>
        <v>166.6666666666667</v>
      </c>
      <c r="W37" s="36">
        <f>IF(Calculations!$S4=0,Calculations!$W4/12,IFERROR(IF(MONTH(Calculations!$B4)=MONTH(Output!W$35),Calculations!$W4,0),0)+IFERROR(IF(MONTH(Calculations!$C4)=MONTH(Output!W$35),Calculations!$X4,0),0)+IFERROR(IF(MONTH(Calculations!$E4)=MONTH(Output!W$35),Calculations!$W4,0),0)+IFERROR(IF(MONTH(Calculations!$F4)=MONTH(Output!W$35),Calculations!$X4,0),0))</f>
        <v>166.6666666666667</v>
      </c>
      <c r="X37" s="36">
        <f>IF(Calculations!$S4=0,Calculations!$W4/12,IFERROR(IF(MONTH(Calculations!$B4)=MONTH(Output!X$35),Calculations!$W4,0),0)+IFERROR(IF(MONTH(Calculations!$C4)=MONTH(Output!X$35),Calculations!$X4,0),0)+IFERROR(IF(MONTH(Calculations!$E4)=MONTH(Output!X$35),Calculations!$W4,0),0)+IFERROR(IF(MONTH(Calculations!$F4)=MONTH(Output!X$35),Calculations!$X4,0),0))</f>
        <v>166.6666666666667</v>
      </c>
      <c r="Y37" s="36">
        <f>IF(Calculations!$S4=0,Calculations!$W4/12,IFERROR(IF(MONTH(Calculations!$B4)=MONTH(Output!Y$35),Calculations!$W4,0),0)+IFERROR(IF(MONTH(Calculations!$C4)=MONTH(Output!Y$35),Calculations!$X4,0),0)+IFERROR(IF(MONTH(Calculations!$E4)=MONTH(Output!Y$35),Calculations!$W4,0),0)+IFERROR(IF(MONTH(Calculations!$F4)=MONTH(Output!Y$35),Calculations!$X4,0),0))</f>
        <v>166.6666666666667</v>
      </c>
      <c r="Z37" s="36">
        <f>SUMIF($B$13:$Y$13,"Yes",B37:Y37)</f>
        <v>2166.666666666667</v>
      </c>
      <c r="AA37" s="36">
        <f>SUM(B37:M37)</f>
        <v>2000</v>
      </c>
      <c r="AB37" s="36">
        <f>SUM(B37:Y37)</f>
        <v>3999.999999999999</v>
      </c>
      <c r="AC37" s="73"/>
    </row>
    <row r="38" spans="1:30" hidden="true" outlineLevel="1">
      <c r="A38" s="181" t="str">
        <f>Calculations!$A$5</f>
        <v>Other crops</v>
      </c>
      <c r="B38" s="36">
        <f>N38</f>
        <v>0</v>
      </c>
      <c r="C38" s="36">
        <f>O38</f>
        <v>2000</v>
      </c>
      <c r="D38" s="36">
        <f>P38</f>
        <v>0</v>
      </c>
      <c r="E38" s="36">
        <f>Q38</f>
        <v>0</v>
      </c>
      <c r="F38" s="36">
        <f>R38</f>
        <v>0</v>
      </c>
      <c r="G38" s="36">
        <f>S38</f>
        <v>0</v>
      </c>
      <c r="H38" s="36">
        <f>T38</f>
        <v>0</v>
      </c>
      <c r="I38" s="36">
        <f>U38</f>
        <v>0</v>
      </c>
      <c r="J38" s="36">
        <f>V38</f>
        <v>0</v>
      </c>
      <c r="K38" s="36">
        <f>W38</f>
        <v>0</v>
      </c>
      <c r="L38" s="36">
        <f>X38</f>
        <v>0</v>
      </c>
      <c r="M38" s="36">
        <f>Y38</f>
        <v>0</v>
      </c>
      <c r="N38" s="36">
        <f>IF(Calculations!$S5=0,Calculations!$W5/12,IFERROR(IF(MONTH(Calculations!$B5)=MONTH(Output!N$35),Calculations!$W5,0),0)+IFERROR(IF(MONTH(Calculations!$C5)=MONTH(Output!N$35),Calculations!$X5,0),0)+IFERROR(IF(MONTH(Calculations!$E5)=MONTH(Output!N$35),Calculations!$W5,0),0)+IFERROR(IF(MONTH(Calculations!$F5)=MONTH(Output!N$35),Calculations!$X5,0),0))</f>
        <v>0</v>
      </c>
      <c r="O38" s="36">
        <f>IF(Calculations!$S5=0,Calculations!$W5/12,IFERROR(IF(MONTH(Calculations!$B5)=MONTH(Output!O$35),Calculations!$W5,0),0)+IFERROR(IF(MONTH(Calculations!$C5)=MONTH(Output!O$35),Calculations!$X5,0),0)+IFERROR(IF(MONTH(Calculations!$E5)=MONTH(Output!O$35),Calculations!$W5,0),0)+IFERROR(IF(MONTH(Calculations!$F5)=MONTH(Output!O$35),Calculations!$X5,0),0))</f>
        <v>2000</v>
      </c>
      <c r="P38" s="36">
        <f>IF(Calculations!$S5=0,Calculations!$W5/12,IFERROR(IF(MONTH(Calculations!$B5)=MONTH(Output!P$35),Calculations!$W5,0),0)+IFERROR(IF(MONTH(Calculations!$C5)=MONTH(Output!P$35),Calculations!$X5,0),0)+IFERROR(IF(MONTH(Calculations!$E5)=MONTH(Output!P$35),Calculations!$W5,0),0)+IFERROR(IF(MONTH(Calculations!$F5)=MONTH(Output!P$35),Calculations!$X5,0),0))</f>
        <v>0</v>
      </c>
      <c r="Q38" s="36">
        <f>IF(Calculations!$S5=0,Calculations!$W5/12,IFERROR(IF(MONTH(Calculations!$B5)=MONTH(Output!Q$35),Calculations!$W5,0),0)+IFERROR(IF(MONTH(Calculations!$C5)=MONTH(Output!Q$35),Calculations!$X5,0),0)+IFERROR(IF(MONTH(Calculations!$E5)=MONTH(Output!Q$35),Calculations!$W5,0),0)+IFERROR(IF(MONTH(Calculations!$F5)=MONTH(Output!Q$35),Calculations!$X5,0),0))</f>
        <v>0</v>
      </c>
      <c r="R38" s="36">
        <f>IF(Calculations!$S5=0,Calculations!$W5/12,IFERROR(IF(MONTH(Calculations!$B5)=MONTH(Output!R$35),Calculations!$W5,0),0)+IFERROR(IF(MONTH(Calculations!$C5)=MONTH(Output!R$35),Calculations!$X5,0),0)+IFERROR(IF(MONTH(Calculations!$E5)=MONTH(Output!R$35),Calculations!$W5,0),0)+IFERROR(IF(MONTH(Calculations!$F5)=MONTH(Output!R$35),Calculations!$X5,0),0))</f>
        <v>0</v>
      </c>
      <c r="S38" s="36">
        <f>IF(Calculations!$S5=0,Calculations!$W5/12,IFERROR(IF(MONTH(Calculations!$B5)=MONTH(Output!S$35),Calculations!$W5,0),0)+IFERROR(IF(MONTH(Calculations!$C5)=MONTH(Output!S$35),Calculations!$X5,0),0)+IFERROR(IF(MONTH(Calculations!$E5)=MONTH(Output!S$35),Calculations!$W5,0),0)+IFERROR(IF(MONTH(Calculations!$F5)=MONTH(Output!S$35),Calculations!$X5,0),0))</f>
        <v>0</v>
      </c>
      <c r="T38" s="36">
        <f>IF(Calculations!$S5=0,Calculations!$W5/12,IFERROR(IF(MONTH(Calculations!$B5)=MONTH(Output!T$35),Calculations!$W5,0),0)+IFERROR(IF(MONTH(Calculations!$C5)=MONTH(Output!T$35),Calculations!$X5,0),0)+IFERROR(IF(MONTH(Calculations!$E5)=MONTH(Output!T$35),Calculations!$W5,0),0)+IFERROR(IF(MONTH(Calculations!$F5)=MONTH(Output!T$35),Calculations!$X5,0),0))</f>
        <v>0</v>
      </c>
      <c r="U38" s="36">
        <f>IF(Calculations!$S5=0,Calculations!$W5/12,IFERROR(IF(MONTH(Calculations!$B5)=MONTH(Output!U$35),Calculations!$W5,0),0)+IFERROR(IF(MONTH(Calculations!$C5)=MONTH(Output!U$35),Calculations!$X5,0),0)+IFERROR(IF(MONTH(Calculations!$E5)=MONTH(Output!U$35),Calculations!$W5,0),0)+IFERROR(IF(MONTH(Calculations!$F5)=MONTH(Output!U$35),Calculations!$X5,0),0))</f>
        <v>0</v>
      </c>
      <c r="V38" s="36">
        <f>IF(Calculations!$S5=0,Calculations!$W5/12,IFERROR(IF(MONTH(Calculations!$B5)=MONTH(Output!V$35),Calculations!$W5,0),0)+IFERROR(IF(MONTH(Calculations!$C5)=MONTH(Output!V$35),Calculations!$X5,0),0)+IFERROR(IF(MONTH(Calculations!$E5)=MONTH(Output!V$35),Calculations!$W5,0),0)+IFERROR(IF(MONTH(Calculations!$F5)=MONTH(Output!V$35),Calculations!$X5,0),0))</f>
        <v>0</v>
      </c>
      <c r="W38" s="36">
        <f>IF(Calculations!$S5=0,Calculations!$W5/12,IFERROR(IF(MONTH(Calculations!$B5)=MONTH(Output!W$35),Calculations!$W5,0),0)+IFERROR(IF(MONTH(Calculations!$C5)=MONTH(Output!W$35),Calculations!$X5,0),0)+IFERROR(IF(MONTH(Calculations!$E5)=MONTH(Output!W$35),Calculations!$W5,0),0)+IFERROR(IF(MONTH(Calculations!$F5)=MONTH(Output!W$35),Calculations!$X5,0),0))</f>
        <v>0</v>
      </c>
      <c r="X38" s="36">
        <f>IF(Calculations!$S5=0,Calculations!$W5/12,IFERROR(IF(MONTH(Calculations!$B5)=MONTH(Output!X$35),Calculations!$W5,0),0)+IFERROR(IF(MONTH(Calculations!$C5)=MONTH(Output!X$35),Calculations!$X5,0),0)+IFERROR(IF(MONTH(Calculations!$E5)=MONTH(Output!X$35),Calculations!$W5,0),0)+IFERROR(IF(MONTH(Calculations!$F5)=MONTH(Output!X$35),Calculations!$X5,0),0))</f>
        <v>0</v>
      </c>
      <c r="Y38" s="36">
        <f>IF(Calculations!$S5=0,Calculations!$W5/12,IFERROR(IF(MONTH(Calculations!$B5)=MONTH(Output!Y$35),Calculations!$W5,0),0)+IFERROR(IF(MONTH(Calculations!$C5)=MONTH(Output!Y$35),Calculations!$X5,0),0)+IFERROR(IF(MONTH(Calculations!$E5)=MONTH(Output!Y$35),Calculations!$W5,0),0)+IFERROR(IF(MONTH(Calculations!$F5)=MONTH(Output!Y$35),Calculations!$X5,0),0))</f>
        <v>0</v>
      </c>
      <c r="Z38" s="36">
        <f>SUMIF($B$13:$Y$13,"Yes",B38:Y38)</f>
        <v>2000</v>
      </c>
      <c r="AA38" s="36">
        <f>SUM(B38:M38)</f>
        <v>2000</v>
      </c>
      <c r="AB38" s="36">
        <f>SUM(B38:Y38)</f>
        <v>4000</v>
      </c>
      <c r="AC38" s="73"/>
    </row>
    <row r="39" spans="1:30" hidden="true" outlineLevel="1">
      <c r="A39" s="181" t="str">
        <f>Calculations!$A$6</f>
        <v>Maize</v>
      </c>
      <c r="B39" s="36">
        <f>N39</f>
        <v>0</v>
      </c>
      <c r="C39" s="36">
        <f>O39</f>
        <v>2000</v>
      </c>
      <c r="D39" s="36">
        <f>P39</f>
        <v>0</v>
      </c>
      <c r="E39" s="36">
        <f>Q39</f>
        <v>0</v>
      </c>
      <c r="F39" s="36">
        <f>R39</f>
        <v>0</v>
      </c>
      <c r="G39" s="36">
        <f>S39</f>
        <v>0</v>
      </c>
      <c r="H39" s="36">
        <f>T39</f>
        <v>0</v>
      </c>
      <c r="I39" s="36">
        <f>U39</f>
        <v>2000</v>
      </c>
      <c r="J39" s="36">
        <f>V39</f>
        <v>0</v>
      </c>
      <c r="K39" s="36">
        <f>W39</f>
        <v>0</v>
      </c>
      <c r="L39" s="36">
        <f>X39</f>
        <v>0</v>
      </c>
      <c r="M39" s="36">
        <f>Y39</f>
        <v>0</v>
      </c>
      <c r="N39" s="36">
        <f>IF(Calculations!$S6=0,Calculations!$W6/12,IFERROR(IF(MONTH(Calculations!$B6)=MONTH(Output!N$35),Calculations!$W6,0),0)+IFERROR(IF(MONTH(Calculations!$C6)=MONTH(Output!N$35),Calculations!$X6,0),0)+IFERROR(IF(MONTH(Calculations!$E6)=MONTH(Output!N$35),Calculations!$W6,0),0)+IFERROR(IF(MONTH(Calculations!$F6)=MONTH(Output!N$35),Calculations!$X6,0),0))</f>
        <v>0</v>
      </c>
      <c r="O39" s="36">
        <f>IF(Calculations!$S6=0,Calculations!$W6/12,IFERROR(IF(MONTH(Calculations!$B6)=MONTH(Output!O$35),Calculations!$W6,0),0)+IFERROR(IF(MONTH(Calculations!$C6)=MONTH(Output!O$35),Calculations!$X6,0),0)+IFERROR(IF(MONTH(Calculations!$E6)=MONTH(Output!O$35),Calculations!$W6,0),0)+IFERROR(IF(MONTH(Calculations!$F6)=MONTH(Output!O$35),Calculations!$X6,0),0))</f>
        <v>2000</v>
      </c>
      <c r="P39" s="36">
        <f>IF(Calculations!$S6=0,Calculations!$W6/12,IFERROR(IF(MONTH(Calculations!$B6)=MONTH(Output!P$35),Calculations!$W6,0),0)+IFERROR(IF(MONTH(Calculations!$C6)=MONTH(Output!P$35),Calculations!$X6,0),0)+IFERROR(IF(MONTH(Calculations!$E6)=MONTH(Output!P$35),Calculations!$W6,0),0)+IFERROR(IF(MONTH(Calculations!$F6)=MONTH(Output!P$35),Calculations!$X6,0),0))</f>
        <v>0</v>
      </c>
      <c r="Q39" s="36">
        <f>IF(Calculations!$S6=0,Calculations!$W6/12,IFERROR(IF(MONTH(Calculations!$B6)=MONTH(Output!Q$35),Calculations!$W6,0),0)+IFERROR(IF(MONTH(Calculations!$C6)=MONTH(Output!Q$35),Calculations!$X6,0),0)+IFERROR(IF(MONTH(Calculations!$E6)=MONTH(Output!Q$35),Calculations!$W6,0),0)+IFERROR(IF(MONTH(Calculations!$F6)=MONTH(Output!Q$35),Calculations!$X6,0),0))</f>
        <v>0</v>
      </c>
      <c r="R39" s="36">
        <f>IF(Calculations!$S6=0,Calculations!$W6/12,IFERROR(IF(MONTH(Calculations!$B6)=MONTH(Output!R$35),Calculations!$W6,0),0)+IFERROR(IF(MONTH(Calculations!$C6)=MONTH(Output!R$35),Calculations!$X6,0),0)+IFERROR(IF(MONTH(Calculations!$E6)=MONTH(Output!R$35),Calculations!$W6,0),0)+IFERROR(IF(MONTH(Calculations!$F6)=MONTH(Output!R$35),Calculations!$X6,0),0))</f>
        <v>0</v>
      </c>
      <c r="S39" s="36">
        <f>IF(Calculations!$S6=0,Calculations!$W6/12,IFERROR(IF(MONTH(Calculations!$B6)=MONTH(Output!S$35),Calculations!$W6,0),0)+IFERROR(IF(MONTH(Calculations!$C6)=MONTH(Output!S$35),Calculations!$X6,0),0)+IFERROR(IF(MONTH(Calculations!$E6)=MONTH(Output!S$35),Calculations!$W6,0),0)+IFERROR(IF(MONTH(Calculations!$F6)=MONTH(Output!S$35),Calculations!$X6,0),0))</f>
        <v>0</v>
      </c>
      <c r="T39" s="36">
        <f>IF(Calculations!$S6=0,Calculations!$W6/12,IFERROR(IF(MONTH(Calculations!$B6)=MONTH(Output!T$35),Calculations!$W6,0),0)+IFERROR(IF(MONTH(Calculations!$C6)=MONTH(Output!T$35),Calculations!$X6,0),0)+IFERROR(IF(MONTH(Calculations!$E6)=MONTH(Output!T$35),Calculations!$W6,0),0)+IFERROR(IF(MONTH(Calculations!$F6)=MONTH(Output!T$35),Calculations!$X6,0),0))</f>
        <v>0</v>
      </c>
      <c r="U39" s="36">
        <f>IF(Calculations!$S6=0,Calculations!$W6/12,IFERROR(IF(MONTH(Calculations!$B6)=MONTH(Output!U$35),Calculations!$W6,0),0)+IFERROR(IF(MONTH(Calculations!$C6)=MONTH(Output!U$35),Calculations!$X6,0),0)+IFERROR(IF(MONTH(Calculations!$E6)=MONTH(Output!U$35),Calculations!$W6,0),0)+IFERROR(IF(MONTH(Calculations!$F6)=MONTH(Output!U$35),Calculations!$X6,0),0))</f>
        <v>2000</v>
      </c>
      <c r="V39" s="36">
        <f>IF(Calculations!$S6=0,Calculations!$W6/12,IFERROR(IF(MONTH(Calculations!$B6)=MONTH(Output!V$35),Calculations!$W6,0),0)+IFERROR(IF(MONTH(Calculations!$C6)=MONTH(Output!V$35),Calculations!$X6,0),0)+IFERROR(IF(MONTH(Calculations!$E6)=MONTH(Output!V$35),Calculations!$W6,0),0)+IFERROR(IF(MONTH(Calculations!$F6)=MONTH(Output!V$35),Calculations!$X6,0),0))</f>
        <v>0</v>
      </c>
      <c r="W39" s="36">
        <f>IF(Calculations!$S6=0,Calculations!$W6/12,IFERROR(IF(MONTH(Calculations!$B6)=MONTH(Output!W$35),Calculations!$W6,0),0)+IFERROR(IF(MONTH(Calculations!$C6)=MONTH(Output!W$35),Calculations!$X6,0),0)+IFERROR(IF(MONTH(Calculations!$E6)=MONTH(Output!W$35),Calculations!$W6,0),0)+IFERROR(IF(MONTH(Calculations!$F6)=MONTH(Output!W$35),Calculations!$X6,0),0))</f>
        <v>0</v>
      </c>
      <c r="X39" s="36">
        <f>IF(Calculations!$S6=0,Calculations!$W6/12,IFERROR(IF(MONTH(Calculations!$B6)=MONTH(Output!X$35),Calculations!$W6,0),0)+IFERROR(IF(MONTH(Calculations!$C6)=MONTH(Output!X$35),Calculations!$X6,0),0)+IFERROR(IF(MONTH(Calculations!$E6)=MONTH(Output!X$35),Calculations!$W6,0),0)+IFERROR(IF(MONTH(Calculations!$F6)=MONTH(Output!X$35),Calculations!$X6,0),0))</f>
        <v>0</v>
      </c>
      <c r="Y39" s="36">
        <f>IF(Calculations!$S6=0,Calculations!$W6/12,IFERROR(IF(MONTH(Calculations!$B6)=MONTH(Output!Y$35),Calculations!$W6,0),0)+IFERROR(IF(MONTH(Calculations!$C6)=MONTH(Output!Y$35),Calculations!$X6,0),0)+IFERROR(IF(MONTH(Calculations!$E6)=MONTH(Output!Y$35),Calculations!$W6,0),0)+IFERROR(IF(MONTH(Calculations!$F6)=MONTH(Output!Y$35),Calculations!$X6,0),0))</f>
        <v>0</v>
      </c>
      <c r="Z39" s="36">
        <f>SUMIF($B$13:$Y$13,"Yes",B39:Y39)</f>
        <v>4000</v>
      </c>
      <c r="AA39" s="36">
        <f>SUM(B39:M39)</f>
        <v>4000</v>
      </c>
      <c r="AB39" s="36">
        <f>SUM(B39:Y39)</f>
        <v>8000</v>
      </c>
      <c r="AC39" s="73"/>
    </row>
    <row r="40" spans="1:30" hidden="true" outlineLevel="1">
      <c r="A40" s="181">
        <f>Calculations!$A$7</f>
        <v/>
      </c>
      <c r="B40" s="36">
        <f>N40</f>
        <v>0</v>
      </c>
      <c r="C40" s="36">
        <f>O40</f>
        <v>0</v>
      </c>
      <c r="D40" s="36">
        <f>P40</f>
        <v>0</v>
      </c>
      <c r="E40" s="36">
        <f>Q40</f>
        <v>0</v>
      </c>
      <c r="F40" s="36">
        <f>R40</f>
        <v>0</v>
      </c>
      <c r="G40" s="36">
        <f>S40</f>
        <v>0</v>
      </c>
      <c r="H40" s="36">
        <f>T40</f>
        <v>0</v>
      </c>
      <c r="I40" s="36">
        <f>U40</f>
        <v>0</v>
      </c>
      <c r="J40" s="36">
        <f>V40</f>
        <v>0</v>
      </c>
      <c r="K40" s="36">
        <f>W40</f>
        <v>0</v>
      </c>
      <c r="L40" s="36">
        <f>X40</f>
        <v>0</v>
      </c>
      <c r="M40" s="36">
        <f>Y40</f>
        <v>0</v>
      </c>
      <c r="N40" s="36">
        <f>IF(Calculations!$S7=0,Calculations!$W7/12,IFERROR(IF(MONTH(Calculations!$B7)=MONTH(Output!N$35),Calculations!$W7,0),0)+IFERROR(IF(MONTH(Calculations!$C7)=MONTH(Output!N$35),Calculations!$X7,0),0)+IFERROR(IF(MONTH(Calculations!$E7)=MONTH(Output!N$35),Calculations!$W7,0),0)+IFERROR(IF(MONTH(Calculations!$F7)=MONTH(Output!N$35),Calculations!$X7,0),0))</f>
        <v>0</v>
      </c>
      <c r="O40" s="36">
        <f>IF(Calculations!$S7=0,Calculations!$W7/12,IFERROR(IF(MONTH(Calculations!$B7)=MONTH(Output!O$35),Calculations!$W7,0),0)+IFERROR(IF(MONTH(Calculations!$C7)=MONTH(Output!O$35),Calculations!$X7,0),0)+IFERROR(IF(MONTH(Calculations!$E7)=MONTH(Output!O$35),Calculations!$W7,0),0)+IFERROR(IF(MONTH(Calculations!$F7)=MONTH(Output!O$35),Calculations!$X7,0),0))</f>
        <v>0</v>
      </c>
      <c r="P40" s="36">
        <f>IF(Calculations!$S7=0,Calculations!$W7/12,IFERROR(IF(MONTH(Calculations!$B7)=MONTH(Output!P$35),Calculations!$W7,0),0)+IFERROR(IF(MONTH(Calculations!$C7)=MONTH(Output!P$35),Calculations!$X7,0),0)+IFERROR(IF(MONTH(Calculations!$E7)=MONTH(Output!P$35),Calculations!$W7,0),0)+IFERROR(IF(MONTH(Calculations!$F7)=MONTH(Output!P$35),Calculations!$X7,0),0))</f>
        <v>0</v>
      </c>
      <c r="Q40" s="36">
        <f>IF(Calculations!$S7=0,Calculations!$W7/12,IFERROR(IF(MONTH(Calculations!$B7)=MONTH(Output!Q$35),Calculations!$W7,0),0)+IFERROR(IF(MONTH(Calculations!$C7)=MONTH(Output!Q$35),Calculations!$X7,0),0)+IFERROR(IF(MONTH(Calculations!$E7)=MONTH(Output!Q$35),Calculations!$W7,0),0)+IFERROR(IF(MONTH(Calculations!$F7)=MONTH(Output!Q$35),Calculations!$X7,0),0))</f>
        <v>0</v>
      </c>
      <c r="R40" s="36">
        <f>IF(Calculations!$S7=0,Calculations!$W7/12,IFERROR(IF(MONTH(Calculations!$B7)=MONTH(Output!R$35),Calculations!$W7,0),0)+IFERROR(IF(MONTH(Calculations!$C7)=MONTH(Output!R$35),Calculations!$X7,0),0)+IFERROR(IF(MONTH(Calculations!$E7)=MONTH(Output!R$35),Calculations!$W7,0),0)+IFERROR(IF(MONTH(Calculations!$F7)=MONTH(Output!R$35),Calculations!$X7,0),0))</f>
        <v>0</v>
      </c>
      <c r="S40" s="36">
        <f>IF(Calculations!$S7=0,Calculations!$W7/12,IFERROR(IF(MONTH(Calculations!$B7)=MONTH(Output!S$35),Calculations!$W7,0),0)+IFERROR(IF(MONTH(Calculations!$C7)=MONTH(Output!S$35),Calculations!$X7,0),0)+IFERROR(IF(MONTH(Calculations!$E7)=MONTH(Output!S$35),Calculations!$W7,0),0)+IFERROR(IF(MONTH(Calculations!$F7)=MONTH(Output!S$35),Calculations!$X7,0),0))</f>
        <v>0</v>
      </c>
      <c r="T40" s="36">
        <f>IF(Calculations!$S7=0,Calculations!$W7/12,IFERROR(IF(MONTH(Calculations!$B7)=MONTH(Output!T$35),Calculations!$W7,0),0)+IFERROR(IF(MONTH(Calculations!$C7)=MONTH(Output!T$35),Calculations!$X7,0),0)+IFERROR(IF(MONTH(Calculations!$E7)=MONTH(Output!T$35),Calculations!$W7,0),0)+IFERROR(IF(MONTH(Calculations!$F7)=MONTH(Output!T$35),Calculations!$X7,0),0))</f>
        <v>0</v>
      </c>
      <c r="U40" s="36">
        <f>IF(Calculations!$S7=0,Calculations!$W7/12,IFERROR(IF(MONTH(Calculations!$B7)=MONTH(Output!U$35),Calculations!$W7,0),0)+IFERROR(IF(MONTH(Calculations!$C7)=MONTH(Output!U$35),Calculations!$X7,0),0)+IFERROR(IF(MONTH(Calculations!$E7)=MONTH(Output!U$35),Calculations!$W7,0),0)+IFERROR(IF(MONTH(Calculations!$F7)=MONTH(Output!U$35),Calculations!$X7,0),0))</f>
        <v>0</v>
      </c>
      <c r="V40" s="36">
        <f>IF(Calculations!$S7=0,Calculations!$W7/12,IFERROR(IF(MONTH(Calculations!$B7)=MONTH(Output!V$35),Calculations!$W7,0),0)+IFERROR(IF(MONTH(Calculations!$C7)=MONTH(Output!V$35),Calculations!$X7,0),0)+IFERROR(IF(MONTH(Calculations!$E7)=MONTH(Output!V$35),Calculations!$W7,0),0)+IFERROR(IF(MONTH(Calculations!$F7)=MONTH(Output!V$35),Calculations!$X7,0),0))</f>
        <v>0</v>
      </c>
      <c r="W40" s="36">
        <f>IF(Calculations!$S7=0,Calculations!$W7/12,IFERROR(IF(MONTH(Calculations!$B7)=MONTH(Output!W$35),Calculations!$W7,0),0)+IFERROR(IF(MONTH(Calculations!$C7)=MONTH(Output!W$35),Calculations!$X7,0),0)+IFERROR(IF(MONTH(Calculations!$E7)=MONTH(Output!W$35),Calculations!$W7,0),0)+IFERROR(IF(MONTH(Calculations!$F7)=MONTH(Output!W$35),Calculations!$X7,0),0))</f>
        <v>0</v>
      </c>
      <c r="X40" s="36">
        <f>IF(Calculations!$S7=0,Calculations!$W7/12,IFERROR(IF(MONTH(Calculations!$B7)=MONTH(Output!X$35),Calculations!$W7,0),0)+IFERROR(IF(MONTH(Calculations!$C7)=MONTH(Output!X$35),Calculations!$X7,0),0)+IFERROR(IF(MONTH(Calculations!$E7)=MONTH(Output!X$35),Calculations!$W7,0),0)+IFERROR(IF(MONTH(Calculations!$F7)=MONTH(Output!X$35),Calculations!$X7,0),0))</f>
        <v>0</v>
      </c>
      <c r="Y40" s="36">
        <f>IF(Calculations!$S7=0,Calculations!$W7/12,IFERROR(IF(MONTH(Calculations!$B7)=MONTH(Output!Y$35),Calculations!$W7,0),0)+IFERROR(IF(MONTH(Calculations!$C7)=MONTH(Output!Y$35),Calculations!$X7,0),0)+IFERROR(IF(MONTH(Calculations!$E7)=MONTH(Output!Y$35),Calculations!$W7,0),0)+IFERROR(IF(MONTH(Calculations!$F7)=MONTH(Output!Y$35),Calculations!$X7,0),0))</f>
        <v>0</v>
      </c>
      <c r="Z40" s="36">
        <f>SUMIF($B$13:$Y$13,"Yes",B40:Y40)</f>
        <v>0</v>
      </c>
      <c r="AA40" s="36">
        <f>SUM(B40:M40)</f>
        <v>0</v>
      </c>
      <c r="AB40" s="36">
        <f>SUM(B40:Y40)</f>
        <v>0</v>
      </c>
      <c r="AC40" s="73"/>
    </row>
    <row r="41" spans="1:30" hidden="true" outlineLevel="1">
      <c r="A41" s="181">
        <f>Calculations!$A$8</f>
        <v/>
      </c>
      <c r="B41" s="36">
        <f>N41</f>
        <v>0</v>
      </c>
      <c r="C41" s="36">
        <f>O41</f>
        <v>0</v>
      </c>
      <c r="D41" s="36">
        <f>P41</f>
        <v>0</v>
      </c>
      <c r="E41" s="36">
        <f>Q41</f>
        <v>0</v>
      </c>
      <c r="F41" s="36">
        <f>R41</f>
        <v>0</v>
      </c>
      <c r="G41" s="36">
        <f>S41</f>
        <v>0</v>
      </c>
      <c r="H41" s="36">
        <f>T41</f>
        <v>0</v>
      </c>
      <c r="I41" s="36">
        <f>U41</f>
        <v>0</v>
      </c>
      <c r="J41" s="36">
        <f>V41</f>
        <v>0</v>
      </c>
      <c r="K41" s="36">
        <f>W41</f>
        <v>0</v>
      </c>
      <c r="L41" s="36">
        <f>X41</f>
        <v>0</v>
      </c>
      <c r="M41" s="36">
        <f>Y41</f>
        <v>0</v>
      </c>
      <c r="N41" s="36">
        <f>IF(Calculations!$S8=0,Calculations!$W8/12,IFERROR(IF(MONTH(Calculations!$B8)=MONTH(Output!N$35),Calculations!$W8,0),0)+IFERROR(IF(MONTH(Calculations!$C8)=MONTH(Output!N$35),Calculations!$X8,0),0)+IFERROR(IF(MONTH(Calculations!$E8)=MONTH(Output!N$35),Calculations!$W8,0),0)+IFERROR(IF(MONTH(Calculations!$F8)=MONTH(Output!N$35),Calculations!$X8,0),0))</f>
        <v>0</v>
      </c>
      <c r="O41" s="36">
        <f>IF(Calculations!$S8=0,Calculations!$W8/12,IFERROR(IF(MONTH(Calculations!$B8)=MONTH(Output!O$35),Calculations!$W8,0),0)+IFERROR(IF(MONTH(Calculations!$C8)=MONTH(Output!O$35),Calculations!$X8,0),0)+IFERROR(IF(MONTH(Calculations!$E8)=MONTH(Output!O$35),Calculations!$W8,0),0)+IFERROR(IF(MONTH(Calculations!$F8)=MONTH(Output!O$35),Calculations!$X8,0),0))</f>
        <v>0</v>
      </c>
      <c r="P41" s="36">
        <f>IF(Calculations!$S8=0,Calculations!$W8/12,IFERROR(IF(MONTH(Calculations!$B8)=MONTH(Output!P$35),Calculations!$W8,0),0)+IFERROR(IF(MONTH(Calculations!$C8)=MONTH(Output!P$35),Calculations!$X8,0),0)+IFERROR(IF(MONTH(Calculations!$E8)=MONTH(Output!P$35),Calculations!$W8,0),0)+IFERROR(IF(MONTH(Calculations!$F8)=MONTH(Output!P$35),Calculations!$X8,0),0))</f>
        <v>0</v>
      </c>
      <c r="Q41" s="36">
        <f>IF(Calculations!$S8=0,Calculations!$W8/12,IFERROR(IF(MONTH(Calculations!$B8)=MONTH(Output!Q$35),Calculations!$W8,0),0)+IFERROR(IF(MONTH(Calculations!$C8)=MONTH(Output!Q$35),Calculations!$X8,0),0)+IFERROR(IF(MONTH(Calculations!$E8)=MONTH(Output!Q$35),Calculations!$W8,0),0)+IFERROR(IF(MONTH(Calculations!$F8)=MONTH(Output!Q$35),Calculations!$X8,0),0))</f>
        <v>0</v>
      </c>
      <c r="R41" s="36">
        <f>IF(Calculations!$S8=0,Calculations!$W8/12,IFERROR(IF(MONTH(Calculations!$B8)=MONTH(Output!R$35),Calculations!$W8,0),0)+IFERROR(IF(MONTH(Calculations!$C8)=MONTH(Output!R$35),Calculations!$X8,0),0)+IFERROR(IF(MONTH(Calculations!$E8)=MONTH(Output!R$35),Calculations!$W8,0),0)+IFERROR(IF(MONTH(Calculations!$F8)=MONTH(Output!R$35),Calculations!$X8,0),0))</f>
        <v>0</v>
      </c>
      <c r="S41" s="36">
        <f>IF(Calculations!$S8=0,Calculations!$W8/12,IFERROR(IF(MONTH(Calculations!$B8)=MONTH(Output!S$35),Calculations!$W8,0),0)+IFERROR(IF(MONTH(Calculations!$C8)=MONTH(Output!S$35),Calculations!$X8,0),0)+IFERROR(IF(MONTH(Calculations!$E8)=MONTH(Output!S$35),Calculations!$W8,0),0)+IFERROR(IF(MONTH(Calculations!$F8)=MONTH(Output!S$35),Calculations!$X8,0),0))</f>
        <v>0</v>
      </c>
      <c r="T41" s="36">
        <f>IF(Calculations!$S8=0,Calculations!$W8/12,IFERROR(IF(MONTH(Calculations!$B8)=MONTH(Output!T$35),Calculations!$W8,0),0)+IFERROR(IF(MONTH(Calculations!$C8)=MONTH(Output!T$35),Calculations!$X8,0),0)+IFERROR(IF(MONTH(Calculations!$E8)=MONTH(Output!T$35),Calculations!$W8,0),0)+IFERROR(IF(MONTH(Calculations!$F8)=MONTH(Output!T$35),Calculations!$X8,0),0))</f>
        <v>0</v>
      </c>
      <c r="U41" s="36">
        <f>IF(Calculations!$S8=0,Calculations!$W8/12,IFERROR(IF(MONTH(Calculations!$B8)=MONTH(Output!U$35),Calculations!$W8,0),0)+IFERROR(IF(MONTH(Calculations!$C8)=MONTH(Output!U$35),Calculations!$X8,0),0)+IFERROR(IF(MONTH(Calculations!$E8)=MONTH(Output!U$35),Calculations!$W8,0),0)+IFERROR(IF(MONTH(Calculations!$F8)=MONTH(Output!U$35),Calculations!$X8,0),0))</f>
        <v>0</v>
      </c>
      <c r="V41" s="36">
        <f>IF(Calculations!$S8=0,Calculations!$W8/12,IFERROR(IF(MONTH(Calculations!$B8)=MONTH(Output!V$35),Calculations!$W8,0),0)+IFERROR(IF(MONTH(Calculations!$C8)=MONTH(Output!V$35),Calculations!$X8,0),0)+IFERROR(IF(MONTH(Calculations!$E8)=MONTH(Output!V$35),Calculations!$W8,0),0)+IFERROR(IF(MONTH(Calculations!$F8)=MONTH(Output!V$35),Calculations!$X8,0),0))</f>
        <v>0</v>
      </c>
      <c r="W41" s="36">
        <f>IF(Calculations!$S8=0,Calculations!$W8/12,IFERROR(IF(MONTH(Calculations!$B8)=MONTH(Output!W$35),Calculations!$W8,0),0)+IFERROR(IF(MONTH(Calculations!$C8)=MONTH(Output!W$35),Calculations!$X8,0),0)+IFERROR(IF(MONTH(Calculations!$E8)=MONTH(Output!W$35),Calculations!$W8,0),0)+IFERROR(IF(MONTH(Calculations!$F8)=MONTH(Output!W$35),Calculations!$X8,0),0))</f>
        <v>0</v>
      </c>
      <c r="X41" s="36">
        <f>IF(Calculations!$S8=0,Calculations!$W8/12,IFERROR(IF(MONTH(Calculations!$B8)=MONTH(Output!X$35),Calculations!$W8,0),0)+IFERROR(IF(MONTH(Calculations!$C8)=MONTH(Output!X$35),Calculations!$X8,0),0)+IFERROR(IF(MONTH(Calculations!$E8)=MONTH(Output!X$35),Calculations!$W8,0),0)+IFERROR(IF(MONTH(Calculations!$F8)=MONTH(Output!X$35),Calculations!$X8,0),0))</f>
        <v>0</v>
      </c>
      <c r="Y41" s="36">
        <f>IF(Calculations!$S8=0,Calculations!$W8/12,IFERROR(IF(MONTH(Calculations!$B8)=MONTH(Output!Y$35),Calculations!$W8,0),0)+IFERROR(IF(MONTH(Calculations!$C8)=MONTH(Output!Y$35),Calculations!$X8,0),0)+IFERROR(IF(MONTH(Calculations!$E8)=MONTH(Output!Y$35),Calculations!$W8,0),0)+IFERROR(IF(MONTH(Calculations!$F8)=MONTH(Output!Y$35),Calculations!$X8,0),0))</f>
        <v>0</v>
      </c>
      <c r="Z41" s="36">
        <f>SUMIF($B$13:$Y$13,"Yes",B41:Y41)</f>
        <v>0</v>
      </c>
      <c r="AA41" s="36">
        <f>SUM(B41:M41)</f>
        <v>0</v>
      </c>
      <c r="AB41" s="36">
        <f>SUM(B41:Y41)</f>
        <v>0</v>
      </c>
      <c r="AC41" s="73"/>
    </row>
    <row r="42" spans="1:30" collapsed="true">
      <c r="A42" t="s">
        <v>40</v>
      </c>
      <c r="B42" s="36">
        <f>N42</f>
        <v>0</v>
      </c>
      <c r="C42" s="36">
        <f>O42</f>
        <v>303.0000000000001</v>
      </c>
      <c r="D42" s="36">
        <f>P42</f>
        <v>0</v>
      </c>
      <c r="E42" s="36">
        <f>Q42</f>
        <v>0</v>
      </c>
      <c r="F42" s="36">
        <f>R42</f>
        <v>0</v>
      </c>
      <c r="G42" s="36">
        <f>S42</f>
        <v>0</v>
      </c>
      <c r="H42" s="36">
        <f>T42</f>
        <v>0</v>
      </c>
      <c r="I42" s="36">
        <f>U42</f>
        <v>303.0000000000001</v>
      </c>
      <c r="J42" s="36">
        <f>V42</f>
        <v>0</v>
      </c>
      <c r="K42" s="36">
        <f>W42</f>
        <v>0</v>
      </c>
      <c r="L42" s="36">
        <f>X42</f>
        <v>0</v>
      </c>
      <c r="M42" s="36">
        <f>Y42</f>
        <v>0</v>
      </c>
      <c r="N42" s="36">
        <f>SUM(N43:N47)</f>
        <v>0</v>
      </c>
      <c r="O42" s="36">
        <f>SUM(O43:O47)</f>
        <v>303.0000000000001</v>
      </c>
      <c r="P42" s="36">
        <f>SUM(P43:P47)</f>
        <v>0</v>
      </c>
      <c r="Q42" s="36">
        <f>SUM(Q43:Q47)</f>
        <v>0</v>
      </c>
      <c r="R42" s="36">
        <f>SUM(R43:R47)</f>
        <v>0</v>
      </c>
      <c r="S42" s="36">
        <f>SUM(S43:S47)</f>
        <v>0</v>
      </c>
      <c r="T42" s="36">
        <f>SUM(T43:T47)</f>
        <v>0</v>
      </c>
      <c r="U42" s="36">
        <f>SUM(U43:U47)</f>
        <v>303.0000000000001</v>
      </c>
      <c r="V42" s="36">
        <f>SUM(V43:V47)</f>
        <v>0</v>
      </c>
      <c r="W42" s="36">
        <f>SUM(W43:W47)</f>
        <v>0</v>
      </c>
      <c r="X42" s="36">
        <f>SUM(X43:X47)</f>
        <v>0</v>
      </c>
      <c r="Y42" s="36">
        <f>SUM(Y43:Y47)</f>
        <v>0</v>
      </c>
      <c r="Z42" s="36">
        <f>SUMIF($B$13:$Y$13,"Yes",B42:Y42)</f>
        <v>606.0000000000001</v>
      </c>
      <c r="AA42" s="36">
        <f>SUM(B42:M42)</f>
        <v>606.0000000000001</v>
      </c>
      <c r="AB42" s="36">
        <f>SUM(B42:Y42)</f>
        <v>1212</v>
      </c>
    </row>
    <row r="43" spans="1:30" hidden="true" outlineLevel="1">
      <c r="A43" s="181" t="str">
        <f>Calculations!$A$4</f>
        <v>Bananas</v>
      </c>
      <c r="B43" s="36">
        <f>N43</f>
        <v>0</v>
      </c>
      <c r="C43" s="36">
        <f>O43</f>
        <v>0</v>
      </c>
      <c r="D43" s="36">
        <f>P43</f>
        <v>0</v>
      </c>
      <c r="E43" s="36">
        <f>Q43</f>
        <v>0</v>
      </c>
      <c r="F43" s="36">
        <f>R43</f>
        <v>0</v>
      </c>
      <c r="G43" s="36">
        <f>S43</f>
        <v>0</v>
      </c>
      <c r="H43" s="36">
        <f>T43</f>
        <v>0</v>
      </c>
      <c r="I43" s="36">
        <f>U43</f>
        <v>0</v>
      </c>
      <c r="J43" s="36">
        <f>V43</f>
        <v>0</v>
      </c>
      <c r="K43" s="36">
        <f>W43</f>
        <v>0</v>
      </c>
      <c r="L43" s="36">
        <f>X43</f>
        <v>0</v>
      </c>
      <c r="M43" s="36">
        <f>Y43</f>
        <v>0</v>
      </c>
      <c r="N43" s="36">
        <f>IFERROR(IF(MONTH(Calculations!$B4)=MONTH(Output!N$35),Calculations!$V4,0),0)+IFERROR(IF(MONTH(Calculations!$E4)=MONTH(Output!N$35),Calculations!$V4,0),0)</f>
        <v>0</v>
      </c>
      <c r="O43" s="36">
        <f>IFERROR(IF(MONTH(Calculations!$B4)=MONTH(Output!O$35),Calculations!$V4,0),0)+IFERROR(IF(MONTH(Calculations!$E4)=MONTH(Output!O$35),Calculations!$V4,0),0)</f>
        <v>0</v>
      </c>
      <c r="P43" s="36">
        <f>IFERROR(IF(MONTH(Calculations!$B4)=MONTH(Output!P$35),Calculations!$V4,0),0)+IFERROR(IF(MONTH(Calculations!$E4)=MONTH(Output!P$35),Calculations!$V4,0),0)</f>
        <v>0</v>
      </c>
      <c r="Q43" s="36">
        <f>IFERROR(IF(MONTH(Calculations!$B4)=MONTH(Output!Q$35),Calculations!$V4,0),0)+IFERROR(IF(MONTH(Calculations!$E4)=MONTH(Output!Q$35),Calculations!$V4,0),0)</f>
        <v>0</v>
      </c>
      <c r="R43" s="36">
        <f>IFERROR(IF(MONTH(Calculations!$B4)=MONTH(Output!R$35),Calculations!$V4,0),0)+IFERROR(IF(MONTH(Calculations!$E4)=MONTH(Output!R$35),Calculations!$V4,0),0)</f>
        <v>0</v>
      </c>
      <c r="S43" s="36">
        <f>IFERROR(IF(MONTH(Calculations!$B4)=MONTH(Output!S$35),Calculations!$V4,0),0)+IFERROR(IF(MONTH(Calculations!$E4)=MONTH(Output!S$35),Calculations!$V4,0),0)</f>
        <v>0</v>
      </c>
      <c r="T43" s="36">
        <f>IFERROR(IF(MONTH(Calculations!$B4)=MONTH(Output!T$35),Calculations!$V4,0),0)+IFERROR(IF(MONTH(Calculations!$E4)=MONTH(Output!T$35),Calculations!$V4,0),0)</f>
        <v>0</v>
      </c>
      <c r="U43" s="36">
        <f>IFERROR(IF(MONTH(Calculations!$B4)=MONTH(Output!U$35),Calculations!$V4,0),0)+IFERROR(IF(MONTH(Calculations!$E4)=MONTH(Output!U$35),Calculations!$V4,0),0)</f>
        <v>0</v>
      </c>
      <c r="V43" s="36">
        <f>IFERROR(IF(MONTH(Calculations!$B4)=MONTH(Output!V$35),Calculations!$V4,0),0)+IFERROR(IF(MONTH(Calculations!$E4)=MONTH(Output!V$35),Calculations!$V4,0),0)</f>
        <v>0</v>
      </c>
      <c r="W43" s="36">
        <f>IFERROR(IF(MONTH(Calculations!$B4)=MONTH(Output!W$35),Calculations!$V4,0),0)+IFERROR(IF(MONTH(Calculations!$E4)=MONTH(Output!W$35),Calculations!$V4,0),0)</f>
        <v>0</v>
      </c>
      <c r="X43" s="36">
        <f>IFERROR(IF(MONTH(Calculations!$B4)=MONTH(Output!X$35),Calculations!$V4,0),0)+IFERROR(IF(MONTH(Calculations!$E4)=MONTH(Output!X$35),Calculations!$V4,0),0)</f>
        <v>0</v>
      </c>
      <c r="Y43" s="36">
        <f>IFERROR(IF(MONTH(Calculations!$B4)=MONTH(Output!Y$35),Calculations!$V4,0),0)+IFERROR(IF(MONTH(Calculations!$E4)=MONTH(Output!Y$35),Calculations!$V4,0),0)</f>
        <v>0</v>
      </c>
      <c r="Z43" s="36">
        <f>SUMIF($B$13:$Y$13,"Yes",B43:Y43)</f>
        <v>0</v>
      </c>
      <c r="AA43" s="36">
        <f>SUM(B43:M43)</f>
        <v>0</v>
      </c>
      <c r="AB43" s="36">
        <f>SUM(B43:Y43)</f>
        <v>0</v>
      </c>
    </row>
    <row r="44" spans="1:30" hidden="true" outlineLevel="1">
      <c r="A44" s="181" t="str">
        <f>Calculations!$A$5</f>
        <v>Other crops</v>
      </c>
      <c r="B44" s="36">
        <f>N44</f>
        <v>0</v>
      </c>
      <c r="C44" s="36">
        <f>O44</f>
        <v>0</v>
      </c>
      <c r="D44" s="36">
        <f>P44</f>
        <v>0</v>
      </c>
      <c r="E44" s="36">
        <f>Q44</f>
        <v>0</v>
      </c>
      <c r="F44" s="36">
        <f>R44</f>
        <v>0</v>
      </c>
      <c r="G44" s="36">
        <f>S44</f>
        <v>0</v>
      </c>
      <c r="H44" s="36">
        <f>T44</f>
        <v>0</v>
      </c>
      <c r="I44" s="36">
        <f>U44</f>
        <v>0</v>
      </c>
      <c r="J44" s="36">
        <f>V44</f>
        <v>0</v>
      </c>
      <c r="K44" s="36">
        <f>W44</f>
        <v>0</v>
      </c>
      <c r="L44" s="36">
        <f>X44</f>
        <v>0</v>
      </c>
      <c r="M44" s="36">
        <f>Y44</f>
        <v>0</v>
      </c>
      <c r="N44" s="36">
        <f>IFERROR(IF(MONTH(Calculations!$B5)=MONTH(Output!N$35),Calculations!$V5,0),0)+IFERROR(IF(MONTH(Calculations!$E5)=MONTH(Output!N$35),Calculations!$V5,0),0)</f>
        <v>0</v>
      </c>
      <c r="O44" s="36">
        <f>IFERROR(IF(MONTH(Calculations!$B5)=MONTH(Output!O$35),Calculations!$V5,0),0)+IFERROR(IF(MONTH(Calculations!$E5)=MONTH(Output!O$35),Calculations!$V5,0),0)</f>
        <v>0</v>
      </c>
      <c r="P44" s="36">
        <f>IFERROR(IF(MONTH(Calculations!$B5)=MONTH(Output!P$35),Calculations!$V5,0),0)+IFERROR(IF(MONTH(Calculations!$E5)=MONTH(Output!P$35),Calculations!$V5,0),0)</f>
        <v>0</v>
      </c>
      <c r="Q44" s="36">
        <f>IFERROR(IF(MONTH(Calculations!$B5)=MONTH(Output!Q$35),Calculations!$V5,0),0)+IFERROR(IF(MONTH(Calculations!$E5)=MONTH(Output!Q$35),Calculations!$V5,0),0)</f>
        <v>0</v>
      </c>
      <c r="R44" s="36">
        <f>IFERROR(IF(MONTH(Calculations!$B5)=MONTH(Output!R$35),Calculations!$V5,0),0)+IFERROR(IF(MONTH(Calculations!$E5)=MONTH(Output!R$35),Calculations!$V5,0),0)</f>
        <v>0</v>
      </c>
      <c r="S44" s="36">
        <f>IFERROR(IF(MONTH(Calculations!$B5)=MONTH(Output!S$35),Calculations!$V5,0),0)+IFERROR(IF(MONTH(Calculations!$E5)=MONTH(Output!S$35),Calculations!$V5,0),0)</f>
        <v>0</v>
      </c>
      <c r="T44" s="36">
        <f>IFERROR(IF(MONTH(Calculations!$B5)=MONTH(Output!T$35),Calculations!$V5,0),0)+IFERROR(IF(MONTH(Calculations!$E5)=MONTH(Output!T$35),Calculations!$V5,0),0)</f>
        <v>0</v>
      </c>
      <c r="U44" s="36">
        <f>IFERROR(IF(MONTH(Calculations!$B5)=MONTH(Output!U$35),Calculations!$V5,0),0)+IFERROR(IF(MONTH(Calculations!$E5)=MONTH(Output!U$35),Calculations!$V5,0),0)</f>
        <v>0</v>
      </c>
      <c r="V44" s="36">
        <f>IFERROR(IF(MONTH(Calculations!$B5)=MONTH(Output!V$35),Calculations!$V5,0),0)+IFERROR(IF(MONTH(Calculations!$E5)=MONTH(Output!V$35),Calculations!$V5,0),0)</f>
        <v>0</v>
      </c>
      <c r="W44" s="36">
        <f>IFERROR(IF(MONTH(Calculations!$B5)=MONTH(Output!W$35),Calculations!$V5,0),0)+IFERROR(IF(MONTH(Calculations!$E5)=MONTH(Output!W$35),Calculations!$V5,0),0)</f>
        <v>0</v>
      </c>
      <c r="X44" s="36">
        <f>IFERROR(IF(MONTH(Calculations!$B5)=MONTH(Output!X$35),Calculations!$V5,0),0)+IFERROR(IF(MONTH(Calculations!$E5)=MONTH(Output!X$35),Calculations!$V5,0),0)</f>
        <v>0</v>
      </c>
      <c r="Y44" s="36">
        <f>IFERROR(IF(MONTH(Calculations!$B5)=MONTH(Output!Y$35),Calculations!$V5,0),0)+IFERROR(IF(MONTH(Calculations!$E5)=MONTH(Output!Y$35),Calculations!$V5,0),0)</f>
        <v>0</v>
      </c>
      <c r="Z44" s="36">
        <f>SUMIF($B$13:$Y$13,"Yes",B44:Y44)</f>
        <v>0</v>
      </c>
      <c r="AA44" s="36">
        <f>SUM(B44:M44)</f>
        <v>0</v>
      </c>
      <c r="AB44" s="36">
        <f>SUM(B44:Y44)</f>
        <v>0</v>
      </c>
    </row>
    <row r="45" spans="1:30" hidden="true" outlineLevel="1">
      <c r="A45" s="181" t="str">
        <f>Calculations!$A$6</f>
        <v>Maize</v>
      </c>
      <c r="B45" s="36">
        <f>N45</f>
        <v>0</v>
      </c>
      <c r="C45" s="36">
        <f>O45</f>
        <v>303.0000000000001</v>
      </c>
      <c r="D45" s="36">
        <f>P45</f>
        <v>0</v>
      </c>
      <c r="E45" s="36">
        <f>Q45</f>
        <v>0</v>
      </c>
      <c r="F45" s="36">
        <f>R45</f>
        <v>0</v>
      </c>
      <c r="G45" s="36">
        <f>S45</f>
        <v>0</v>
      </c>
      <c r="H45" s="36">
        <f>T45</f>
        <v>0</v>
      </c>
      <c r="I45" s="36">
        <f>U45</f>
        <v>303.0000000000001</v>
      </c>
      <c r="J45" s="36">
        <f>V45</f>
        <v>0</v>
      </c>
      <c r="K45" s="36">
        <f>W45</f>
        <v>0</v>
      </c>
      <c r="L45" s="36">
        <f>X45</f>
        <v>0</v>
      </c>
      <c r="M45" s="36">
        <f>Y45</f>
        <v>0</v>
      </c>
      <c r="N45" s="36">
        <f>IFERROR(IF(MONTH(Calculations!$B6)=MONTH(Output!N$35),Calculations!$V6,0),0)+IFERROR(IF(MONTH(Calculations!$E6)=MONTH(Output!N$35),Calculations!$V6,0),0)</f>
        <v>0</v>
      </c>
      <c r="O45" s="36">
        <f>IFERROR(IF(MONTH(Calculations!$B6)=MONTH(Output!O$35),Calculations!$V6,0),0)+IFERROR(IF(MONTH(Calculations!$E6)=MONTH(Output!O$35),Calculations!$V6,0),0)</f>
        <v>303.0000000000001</v>
      </c>
      <c r="P45" s="36">
        <f>IFERROR(IF(MONTH(Calculations!$B6)=MONTH(Output!P$35),Calculations!$V6,0),0)+IFERROR(IF(MONTH(Calculations!$E6)=MONTH(Output!P$35),Calculations!$V6,0),0)</f>
        <v>0</v>
      </c>
      <c r="Q45" s="36">
        <f>IFERROR(IF(MONTH(Calculations!$B6)=MONTH(Output!Q$35),Calculations!$V6,0),0)+IFERROR(IF(MONTH(Calculations!$E6)=MONTH(Output!Q$35),Calculations!$V6,0),0)</f>
        <v>0</v>
      </c>
      <c r="R45" s="36">
        <f>IFERROR(IF(MONTH(Calculations!$B6)=MONTH(Output!R$35),Calculations!$V6,0),0)+IFERROR(IF(MONTH(Calculations!$E6)=MONTH(Output!R$35),Calculations!$V6,0),0)</f>
        <v>0</v>
      </c>
      <c r="S45" s="36">
        <f>IFERROR(IF(MONTH(Calculations!$B6)=MONTH(Output!S$35),Calculations!$V6,0),0)+IFERROR(IF(MONTH(Calculations!$E6)=MONTH(Output!S$35),Calculations!$V6,0),0)</f>
        <v>0</v>
      </c>
      <c r="T45" s="36">
        <f>IFERROR(IF(MONTH(Calculations!$B6)=MONTH(Output!T$35),Calculations!$V6,0),0)+IFERROR(IF(MONTH(Calculations!$E6)=MONTH(Output!T$35),Calculations!$V6,0),0)</f>
        <v>0</v>
      </c>
      <c r="U45" s="36">
        <f>IFERROR(IF(MONTH(Calculations!$B6)=MONTH(Output!U$35),Calculations!$V6,0),0)+IFERROR(IF(MONTH(Calculations!$E6)=MONTH(Output!U$35),Calculations!$V6,0),0)</f>
        <v>303.0000000000001</v>
      </c>
      <c r="V45" s="36">
        <f>IFERROR(IF(MONTH(Calculations!$B6)=MONTH(Output!V$35),Calculations!$V6,0),0)+IFERROR(IF(MONTH(Calculations!$E6)=MONTH(Output!V$35),Calculations!$V6,0),0)</f>
        <v>0</v>
      </c>
      <c r="W45" s="36">
        <f>IFERROR(IF(MONTH(Calculations!$B6)=MONTH(Output!W$35),Calculations!$V6,0),0)+IFERROR(IF(MONTH(Calculations!$E6)=MONTH(Output!W$35),Calculations!$V6,0),0)</f>
        <v>0</v>
      </c>
      <c r="X45" s="36">
        <f>IFERROR(IF(MONTH(Calculations!$B6)=MONTH(Output!X$35),Calculations!$V6,0),0)+IFERROR(IF(MONTH(Calculations!$E6)=MONTH(Output!X$35),Calculations!$V6,0),0)</f>
        <v>0</v>
      </c>
      <c r="Y45" s="36">
        <f>IFERROR(IF(MONTH(Calculations!$B6)=MONTH(Output!Y$35),Calculations!$V6,0),0)+IFERROR(IF(MONTH(Calculations!$E6)=MONTH(Output!Y$35),Calculations!$V6,0),0)</f>
        <v>0</v>
      </c>
      <c r="Z45" s="36">
        <f>SUMIF($B$13:$Y$13,"Yes",B45:Y45)</f>
        <v>606.0000000000001</v>
      </c>
      <c r="AA45" s="36">
        <f>SUM(B45:M45)</f>
        <v>606.0000000000001</v>
      </c>
      <c r="AB45" s="36">
        <f>SUM(B45:Y45)</f>
        <v>1212</v>
      </c>
    </row>
    <row r="46" spans="1:30" hidden="true" outlineLevel="1">
      <c r="A46" s="181">
        <f>Calculations!$A$7</f>
        <v/>
      </c>
      <c r="B46" s="36">
        <f>N46</f>
        <v>0</v>
      </c>
      <c r="C46" s="36">
        <f>O46</f>
        <v>0</v>
      </c>
      <c r="D46" s="36">
        <f>P46</f>
        <v>0</v>
      </c>
      <c r="E46" s="36">
        <f>Q46</f>
        <v>0</v>
      </c>
      <c r="F46" s="36">
        <f>R46</f>
        <v>0</v>
      </c>
      <c r="G46" s="36">
        <f>S46</f>
        <v>0</v>
      </c>
      <c r="H46" s="36">
        <f>T46</f>
        <v>0</v>
      </c>
      <c r="I46" s="36">
        <f>U46</f>
        <v>0</v>
      </c>
      <c r="J46" s="36">
        <f>V46</f>
        <v>0</v>
      </c>
      <c r="K46" s="36">
        <f>W46</f>
        <v>0</v>
      </c>
      <c r="L46" s="36">
        <f>X46</f>
        <v>0</v>
      </c>
      <c r="M46" s="36">
        <f>Y46</f>
        <v>0</v>
      </c>
      <c r="N46" s="36">
        <f>IFERROR(IF(MONTH(Calculations!$B7)=MONTH(Output!N$35),Calculations!$V7,0),0)+IFERROR(IF(MONTH(Calculations!$E7)=MONTH(Output!N$35),Calculations!$V7,0),0)</f>
        <v>0</v>
      </c>
      <c r="O46" s="36">
        <f>IFERROR(IF(MONTH(Calculations!$B7)=MONTH(Output!O$35),Calculations!$V7,0),0)+IFERROR(IF(MONTH(Calculations!$E7)=MONTH(Output!O$35),Calculations!$V7,0),0)</f>
        <v>0</v>
      </c>
      <c r="P46" s="36">
        <f>IFERROR(IF(MONTH(Calculations!$B7)=MONTH(Output!P$35),Calculations!$V7,0),0)+IFERROR(IF(MONTH(Calculations!$E7)=MONTH(Output!P$35),Calculations!$V7,0),0)</f>
        <v>0</v>
      </c>
      <c r="Q46" s="36">
        <f>IFERROR(IF(MONTH(Calculations!$B7)=MONTH(Output!Q$35),Calculations!$V7,0),0)+IFERROR(IF(MONTH(Calculations!$E7)=MONTH(Output!Q$35),Calculations!$V7,0),0)</f>
        <v>0</v>
      </c>
      <c r="R46" s="36">
        <f>IFERROR(IF(MONTH(Calculations!$B7)=MONTH(Output!R$35),Calculations!$V7,0),0)+IFERROR(IF(MONTH(Calculations!$E7)=MONTH(Output!R$35),Calculations!$V7,0),0)</f>
        <v>0</v>
      </c>
      <c r="S46" s="36">
        <f>IFERROR(IF(MONTH(Calculations!$B7)=MONTH(Output!S$35),Calculations!$V7,0),0)+IFERROR(IF(MONTH(Calculations!$E7)=MONTH(Output!S$35),Calculations!$V7,0),0)</f>
        <v>0</v>
      </c>
      <c r="T46" s="36">
        <f>IFERROR(IF(MONTH(Calculations!$B7)=MONTH(Output!T$35),Calculations!$V7,0),0)+IFERROR(IF(MONTH(Calculations!$E7)=MONTH(Output!T$35),Calculations!$V7,0),0)</f>
        <v>0</v>
      </c>
      <c r="U46" s="36">
        <f>IFERROR(IF(MONTH(Calculations!$B7)=MONTH(Output!U$35),Calculations!$V7,0),0)+IFERROR(IF(MONTH(Calculations!$E7)=MONTH(Output!U$35),Calculations!$V7,0),0)</f>
        <v>0</v>
      </c>
      <c r="V46" s="36">
        <f>IFERROR(IF(MONTH(Calculations!$B7)=MONTH(Output!V$35),Calculations!$V7,0),0)+IFERROR(IF(MONTH(Calculations!$E7)=MONTH(Output!V$35),Calculations!$V7,0),0)</f>
        <v>0</v>
      </c>
      <c r="W46" s="36">
        <f>IFERROR(IF(MONTH(Calculations!$B7)=MONTH(Output!W$35),Calculations!$V7,0),0)+IFERROR(IF(MONTH(Calculations!$E7)=MONTH(Output!W$35),Calculations!$V7,0),0)</f>
        <v>0</v>
      </c>
      <c r="X46" s="36">
        <f>IFERROR(IF(MONTH(Calculations!$B7)=MONTH(Output!X$35),Calculations!$V7,0),0)+IFERROR(IF(MONTH(Calculations!$E7)=MONTH(Output!X$35),Calculations!$V7,0),0)</f>
        <v>0</v>
      </c>
      <c r="Y46" s="36">
        <f>IFERROR(IF(MONTH(Calculations!$B7)=MONTH(Output!Y$35),Calculations!$V7,0),0)+IFERROR(IF(MONTH(Calculations!$E7)=MONTH(Output!Y$35),Calculations!$V7,0),0)</f>
        <v>0</v>
      </c>
      <c r="Z46" s="36">
        <f>SUMIF($B$13:$Y$13,"Yes",B46:Y46)</f>
        <v>0</v>
      </c>
      <c r="AA46" s="36">
        <f>SUM(B46:M46)</f>
        <v>0</v>
      </c>
      <c r="AB46" s="36">
        <f>SUM(B46:Y46)</f>
        <v>0</v>
      </c>
    </row>
    <row r="47" spans="1:30" hidden="true" outlineLevel="1">
      <c r="A47" s="181">
        <f>Calculations!$A$8</f>
        <v/>
      </c>
      <c r="B47" s="36">
        <f>N47</f>
        <v>0</v>
      </c>
      <c r="C47" s="36">
        <f>O47</f>
        <v>0</v>
      </c>
      <c r="D47" s="36">
        <f>P47</f>
        <v>0</v>
      </c>
      <c r="E47" s="36">
        <f>Q47</f>
        <v>0</v>
      </c>
      <c r="F47" s="36">
        <f>R47</f>
        <v>0</v>
      </c>
      <c r="G47" s="36">
        <f>S47</f>
        <v>0</v>
      </c>
      <c r="H47" s="36">
        <f>T47</f>
        <v>0</v>
      </c>
      <c r="I47" s="36">
        <f>U47</f>
        <v>0</v>
      </c>
      <c r="J47" s="36">
        <f>V47</f>
        <v>0</v>
      </c>
      <c r="K47" s="36">
        <f>W47</f>
        <v>0</v>
      </c>
      <c r="L47" s="36">
        <f>X47</f>
        <v>0</v>
      </c>
      <c r="M47" s="36">
        <f>Y47</f>
        <v>0</v>
      </c>
      <c r="N47" s="36">
        <f>IFERROR(IF(MONTH(Calculations!$B8)=MONTH(Output!N$35),Calculations!$V8,0),0)+IFERROR(IF(MONTH(Calculations!$E8)=MONTH(Output!N$35),Calculations!$V8,0),0)</f>
        <v>0</v>
      </c>
      <c r="O47" s="36">
        <f>IFERROR(IF(MONTH(Calculations!$B8)=MONTH(Output!O$35),Calculations!$V8,0),0)+IFERROR(IF(MONTH(Calculations!$E8)=MONTH(Output!O$35),Calculations!$V8,0),0)</f>
        <v>0</v>
      </c>
      <c r="P47" s="36">
        <f>IFERROR(IF(MONTH(Calculations!$B8)=MONTH(Output!P$35),Calculations!$V8,0),0)+IFERROR(IF(MONTH(Calculations!$E8)=MONTH(Output!P$35),Calculations!$V8,0),0)</f>
        <v>0</v>
      </c>
      <c r="Q47" s="36">
        <f>IFERROR(IF(MONTH(Calculations!$B8)=MONTH(Output!Q$35),Calculations!$V8,0),0)+IFERROR(IF(MONTH(Calculations!$E8)=MONTH(Output!Q$35),Calculations!$V8,0),0)</f>
        <v>0</v>
      </c>
      <c r="R47" s="36">
        <f>IFERROR(IF(MONTH(Calculations!$B8)=MONTH(Output!R$35),Calculations!$V8,0),0)+IFERROR(IF(MONTH(Calculations!$E8)=MONTH(Output!R$35),Calculations!$V8,0),0)</f>
        <v>0</v>
      </c>
      <c r="S47" s="36">
        <f>IFERROR(IF(MONTH(Calculations!$B8)=MONTH(Output!S$35),Calculations!$V8,0),0)+IFERROR(IF(MONTH(Calculations!$E8)=MONTH(Output!S$35),Calculations!$V8,0),0)</f>
        <v>0</v>
      </c>
      <c r="T47" s="36">
        <f>IFERROR(IF(MONTH(Calculations!$B8)=MONTH(Output!T$35),Calculations!$V8,0),0)+IFERROR(IF(MONTH(Calculations!$E8)=MONTH(Output!T$35),Calculations!$V8,0),0)</f>
        <v>0</v>
      </c>
      <c r="U47" s="36">
        <f>IFERROR(IF(MONTH(Calculations!$B8)=MONTH(Output!U$35),Calculations!$V8,0),0)+IFERROR(IF(MONTH(Calculations!$E8)=MONTH(Output!U$35),Calculations!$V8,0),0)</f>
        <v>0</v>
      </c>
      <c r="V47" s="36">
        <f>IFERROR(IF(MONTH(Calculations!$B8)=MONTH(Output!V$35),Calculations!$V8,0),0)+IFERROR(IF(MONTH(Calculations!$E8)=MONTH(Output!V$35),Calculations!$V8,0),0)</f>
        <v>0</v>
      </c>
      <c r="W47" s="36">
        <f>IFERROR(IF(MONTH(Calculations!$B8)=MONTH(Output!W$35),Calculations!$V8,0),0)+IFERROR(IF(MONTH(Calculations!$E8)=MONTH(Output!W$35),Calculations!$V8,0),0)</f>
        <v>0</v>
      </c>
      <c r="X47" s="36">
        <f>IFERROR(IF(MONTH(Calculations!$B8)=MONTH(Output!X$35),Calculations!$V8,0),0)+IFERROR(IF(MONTH(Calculations!$E8)=MONTH(Output!X$35),Calculations!$V8,0),0)</f>
        <v>0</v>
      </c>
      <c r="Y47" s="36">
        <f>IFERROR(IF(MONTH(Calculations!$B8)=MONTH(Output!Y$35),Calculations!$V8,0),0)+IFERROR(IF(MONTH(Calculations!$E8)=MONTH(Output!Y$35),Calculations!$V8,0),0)</f>
        <v>0</v>
      </c>
      <c r="Z47" s="36">
        <f>SUMIF($B$13:$Y$13,"Yes",B47:Y47)</f>
        <v>0</v>
      </c>
      <c r="AA47" s="36">
        <f>SUM(B47:M47)</f>
        <v>0</v>
      </c>
      <c r="AB47" s="36">
        <f>SUM(B47:Y47)</f>
        <v>0</v>
      </c>
    </row>
    <row r="48" spans="1:30" collapsed="true">
      <c r="A48" s="43" t="s">
        <v>41</v>
      </c>
      <c r="B48" s="36">
        <f>N48</f>
        <v>0</v>
      </c>
      <c r="C48" s="36">
        <f>O48</f>
        <v>0</v>
      </c>
      <c r="D48" s="36">
        <f>P48</f>
        <v>0</v>
      </c>
      <c r="E48" s="36">
        <f>Q48</f>
        <v>0</v>
      </c>
      <c r="F48" s="36">
        <f>R48</f>
        <v>0</v>
      </c>
      <c r="G48" s="36">
        <f>S48</f>
        <v>0</v>
      </c>
      <c r="H48" s="36">
        <f>T48</f>
        <v>0</v>
      </c>
      <c r="I48" s="36">
        <f>U48</f>
        <v>0</v>
      </c>
      <c r="J48" s="36">
        <f>V48</f>
        <v>0</v>
      </c>
      <c r="K48" s="36">
        <f>W48</f>
        <v>0</v>
      </c>
      <c r="L48" s="36">
        <f>X48</f>
        <v>0</v>
      </c>
      <c r="M48" s="36">
        <f>Y48</f>
        <v>0</v>
      </c>
      <c r="N48" s="46">
        <f>SUM(N49:N53)</f>
        <v>0</v>
      </c>
      <c r="O48" s="46">
        <f>SUM(O49:O53)</f>
        <v>0</v>
      </c>
      <c r="P48" s="46">
        <f>SUM(P49:P53)</f>
        <v>0</v>
      </c>
      <c r="Q48" s="46">
        <f>SUM(Q49:Q53)</f>
        <v>0</v>
      </c>
      <c r="R48" s="46">
        <f>SUM(R49:R53)</f>
        <v>0</v>
      </c>
      <c r="S48" s="46">
        <f>SUM(S49:S53)</f>
        <v>0</v>
      </c>
      <c r="T48" s="46">
        <f>SUM(T49:T53)</f>
        <v>0</v>
      </c>
      <c r="U48" s="46">
        <f>SUM(U49:U53)</f>
        <v>0</v>
      </c>
      <c r="V48" s="46">
        <f>SUM(V49:V53)</f>
        <v>0</v>
      </c>
      <c r="W48" s="46">
        <f>SUM(W49:W53)</f>
        <v>0</v>
      </c>
      <c r="X48" s="46">
        <f>SUM(X49:X53)</f>
        <v>0</v>
      </c>
      <c r="Y48" s="46">
        <f>SUM(Y49:Y53)</f>
        <v>0</v>
      </c>
      <c r="Z48" s="46">
        <f>SUMIF($B$13:$Y$13,"Yes",B48:Y48)</f>
        <v>0</v>
      </c>
      <c r="AA48" s="46">
        <f>SUM(B48:M48)</f>
        <v>0</v>
      </c>
      <c r="AB48" s="46">
        <f>SUM(B48:Y48)</f>
        <v>0</v>
      </c>
    </row>
    <row r="49" spans="1:30" hidden="true" outlineLevel="1">
      <c r="A49" s="181" t="str">
        <f>Calculations!$A$4</f>
        <v>Bananas</v>
      </c>
      <c r="B49" s="36">
        <f>N49</f>
        <v>0</v>
      </c>
      <c r="C49" s="36">
        <f>O49</f>
        <v>0</v>
      </c>
      <c r="D49" s="36">
        <f>P49</f>
        <v>0</v>
      </c>
      <c r="E49" s="36">
        <f>Q49</f>
        <v>0</v>
      </c>
      <c r="F49" s="36">
        <f>R49</f>
        <v>0</v>
      </c>
      <c r="G49" s="36">
        <f>S49</f>
        <v>0</v>
      </c>
      <c r="H49" s="36">
        <f>T49</f>
        <v>0</v>
      </c>
      <c r="I49" s="36">
        <f>U49</f>
        <v>0</v>
      </c>
      <c r="J49" s="36">
        <f>V49</f>
        <v>0</v>
      </c>
      <c r="K49" s="36">
        <f>W49</f>
        <v>0</v>
      </c>
      <c r="L49" s="36">
        <f>X49</f>
        <v>0</v>
      </c>
      <c r="M49" s="36">
        <f>Y49</f>
        <v>0</v>
      </c>
      <c r="N49" s="46">
        <f>IFERROR(IF(MONTH(Calculations!$C4)=MONTH(Output!N$35),Calculations!$Y4,0),0)+IFERROR(IF(MONTH(Calculations!$F4)=MONTH(Output!N$35),Calculations!$Y4,0),0)</f>
        <v>0</v>
      </c>
      <c r="O49" s="46">
        <f>IFERROR(IF(MONTH(Calculations!$C4)=MONTH(Output!O$35),Calculations!$Y4,0),0)+IFERROR(IF(MONTH(Calculations!$F4)=MONTH(Output!O$35),Calculations!$Y4,0),0)</f>
        <v>0</v>
      </c>
      <c r="P49" s="46">
        <f>IFERROR(IF(MONTH(Calculations!$C4)=MONTH(Output!P$35),Calculations!$Y4,0),0)+IFERROR(IF(MONTH(Calculations!$F4)=MONTH(Output!P$35),Calculations!$Y4,0),0)</f>
        <v>0</v>
      </c>
      <c r="Q49" s="46">
        <f>IFERROR(IF(MONTH(Calculations!$C4)=MONTH(Output!Q$35),Calculations!$Y4,0),0)+IFERROR(IF(MONTH(Calculations!$F4)=MONTH(Output!Q$35),Calculations!$Y4,0),0)</f>
        <v>0</v>
      </c>
      <c r="R49" s="46">
        <f>IFERROR(IF(MONTH(Calculations!$C4)=MONTH(Output!R$35),Calculations!$Y4,0),0)+IFERROR(IF(MONTH(Calculations!$F4)=MONTH(Output!R$35),Calculations!$Y4,0),0)</f>
        <v>0</v>
      </c>
      <c r="S49" s="46">
        <f>IFERROR(IF(MONTH(Calculations!$C4)=MONTH(Output!S$35),Calculations!$Y4,0),0)+IFERROR(IF(MONTH(Calculations!$F4)=MONTH(Output!S$35),Calculations!$Y4,0),0)</f>
        <v>0</v>
      </c>
      <c r="T49" s="46">
        <f>IFERROR(IF(MONTH(Calculations!$C4)=MONTH(Output!T$35),Calculations!$Y4,0),0)+IFERROR(IF(MONTH(Calculations!$F4)=MONTH(Output!T$35),Calculations!$Y4,0),0)</f>
        <v>0</v>
      </c>
      <c r="U49" s="46">
        <f>IFERROR(IF(MONTH(Calculations!$C4)=MONTH(Output!U$35),Calculations!$Y4,0),0)+IFERROR(IF(MONTH(Calculations!$F4)=MONTH(Output!U$35),Calculations!$Y4,0),0)</f>
        <v>0</v>
      </c>
      <c r="V49" s="46">
        <f>IFERROR(IF(MONTH(Calculations!$C4)=MONTH(Output!V$35),Calculations!$Y4,0),0)+IFERROR(IF(MONTH(Calculations!$F4)=MONTH(Output!V$35),Calculations!$Y4,0),0)</f>
        <v>0</v>
      </c>
      <c r="W49" s="46">
        <f>IFERROR(IF(MONTH(Calculations!$C4)=MONTH(Output!W$35),Calculations!$Y4,0),0)+IFERROR(IF(MONTH(Calculations!$F4)=MONTH(Output!W$35),Calculations!$Y4,0),0)</f>
        <v>0</v>
      </c>
      <c r="X49" s="46">
        <f>IFERROR(IF(MONTH(Calculations!$C4)=MONTH(Output!X$35),Calculations!$Y4,0),0)+IFERROR(IF(MONTH(Calculations!$F4)=MONTH(Output!X$35),Calculations!$Y4,0),0)</f>
        <v>0</v>
      </c>
      <c r="Y49" s="46">
        <f>IFERROR(IF(MONTH(Calculations!$C4)=MONTH(Output!Y$35),Calculations!$Y4,0),0)+IFERROR(IF(MONTH(Calculations!$F4)=MONTH(Output!Y$35),Calculations!$Y4,0),0)</f>
        <v>0</v>
      </c>
      <c r="Z49" s="46">
        <f>SUMIF($B$13:$Y$13,"Yes",B49:Y49)</f>
        <v>0</v>
      </c>
      <c r="AA49" s="46">
        <f>SUM(B49:M49)</f>
        <v>0</v>
      </c>
      <c r="AB49" s="46">
        <f>SUM(B49:Y49)</f>
        <v>0</v>
      </c>
    </row>
    <row r="50" spans="1:30" hidden="true" outlineLevel="1">
      <c r="A50" s="181" t="str">
        <f>Calculations!$A$5</f>
        <v>Other crops</v>
      </c>
      <c r="B50" s="36">
        <f>N50</f>
        <v>0</v>
      </c>
      <c r="C50" s="36">
        <f>O50</f>
        <v>0</v>
      </c>
      <c r="D50" s="36">
        <f>P50</f>
        <v>0</v>
      </c>
      <c r="E50" s="36">
        <f>Q50</f>
        <v>0</v>
      </c>
      <c r="F50" s="36">
        <f>R50</f>
        <v>0</v>
      </c>
      <c r="G50" s="36">
        <f>S50</f>
        <v>0</v>
      </c>
      <c r="H50" s="36">
        <f>T50</f>
        <v>0</v>
      </c>
      <c r="I50" s="36">
        <f>U50</f>
        <v>0</v>
      </c>
      <c r="J50" s="36">
        <f>V50</f>
        <v>0</v>
      </c>
      <c r="K50" s="36">
        <f>W50</f>
        <v>0</v>
      </c>
      <c r="L50" s="36">
        <f>X50</f>
        <v>0</v>
      </c>
      <c r="M50" s="36">
        <f>Y50</f>
        <v>0</v>
      </c>
      <c r="N50" s="46">
        <f>IFERROR(IF(MONTH(Calculations!$C5)=MONTH(Output!N$35),Calculations!$Y5,0),0)+IFERROR(IF(MONTH(Calculations!$F5)=MONTH(Output!N$35),Calculations!$Y5,0),0)</f>
        <v>0</v>
      </c>
      <c r="O50" s="46">
        <f>IFERROR(IF(MONTH(Calculations!$C5)=MONTH(Output!O$35),Calculations!$Y5,0),0)+IFERROR(IF(MONTH(Calculations!$F5)=MONTH(Output!O$35),Calculations!$Y5,0),0)</f>
        <v>0</v>
      </c>
      <c r="P50" s="46">
        <f>IFERROR(IF(MONTH(Calculations!$C5)=MONTH(Output!P$35),Calculations!$Y5,0),0)+IFERROR(IF(MONTH(Calculations!$F5)=MONTH(Output!P$35),Calculations!$Y5,0),0)</f>
        <v>0</v>
      </c>
      <c r="Q50" s="46">
        <f>IFERROR(IF(MONTH(Calculations!$C5)=MONTH(Output!Q$35),Calculations!$Y5,0),0)+IFERROR(IF(MONTH(Calculations!$F5)=MONTH(Output!Q$35),Calculations!$Y5,0),0)</f>
        <v>0</v>
      </c>
      <c r="R50" s="46">
        <f>IFERROR(IF(MONTH(Calculations!$C5)=MONTH(Output!R$35),Calculations!$Y5,0),0)+IFERROR(IF(MONTH(Calculations!$F5)=MONTH(Output!R$35),Calculations!$Y5,0),0)</f>
        <v>0</v>
      </c>
      <c r="S50" s="46">
        <f>IFERROR(IF(MONTH(Calculations!$C5)=MONTH(Output!S$35),Calculations!$Y5,0),0)+IFERROR(IF(MONTH(Calculations!$F5)=MONTH(Output!S$35),Calculations!$Y5,0),0)</f>
        <v>0</v>
      </c>
      <c r="T50" s="46">
        <f>IFERROR(IF(MONTH(Calculations!$C5)=MONTH(Output!T$35),Calculations!$Y5,0),0)+IFERROR(IF(MONTH(Calculations!$F5)=MONTH(Output!T$35),Calculations!$Y5,0),0)</f>
        <v>0</v>
      </c>
      <c r="U50" s="46">
        <f>IFERROR(IF(MONTH(Calculations!$C5)=MONTH(Output!U$35),Calculations!$Y5,0),0)+IFERROR(IF(MONTH(Calculations!$F5)=MONTH(Output!U$35),Calculations!$Y5,0),0)</f>
        <v>0</v>
      </c>
      <c r="V50" s="46">
        <f>IFERROR(IF(MONTH(Calculations!$C5)=MONTH(Output!V$35),Calculations!$Y5,0),0)+IFERROR(IF(MONTH(Calculations!$F5)=MONTH(Output!V$35),Calculations!$Y5,0),0)</f>
        <v>0</v>
      </c>
      <c r="W50" s="46">
        <f>IFERROR(IF(MONTH(Calculations!$C5)=MONTH(Output!W$35),Calculations!$Y5,0),0)+IFERROR(IF(MONTH(Calculations!$F5)=MONTH(Output!W$35),Calculations!$Y5,0),0)</f>
        <v>0</v>
      </c>
      <c r="X50" s="46">
        <f>IFERROR(IF(MONTH(Calculations!$C5)=MONTH(Output!X$35),Calculations!$Y5,0),0)+IFERROR(IF(MONTH(Calculations!$F5)=MONTH(Output!X$35),Calculations!$Y5,0),0)</f>
        <v>0</v>
      </c>
      <c r="Y50" s="46">
        <f>IFERROR(IF(MONTH(Calculations!$C5)=MONTH(Output!Y$35),Calculations!$Y5,0),0)+IFERROR(IF(MONTH(Calculations!$F5)=MONTH(Output!Y$35),Calculations!$Y5,0),0)</f>
        <v>0</v>
      </c>
      <c r="Z50" s="46">
        <f>SUMIF($B$13:$Y$13,"Yes",B50:Y50)</f>
        <v>0</v>
      </c>
      <c r="AA50" s="46">
        <f>SUM(B50:M50)</f>
        <v>0</v>
      </c>
      <c r="AB50" s="46">
        <f>SUM(B50:Y50)</f>
        <v>0</v>
      </c>
    </row>
    <row r="51" spans="1:30" hidden="true" outlineLevel="1">
      <c r="A51" s="181" t="str">
        <f>Calculations!$A$6</f>
        <v>Maize</v>
      </c>
      <c r="B51" s="36">
        <f>N51</f>
        <v>0</v>
      </c>
      <c r="C51" s="36">
        <f>O51</f>
        <v>0</v>
      </c>
      <c r="D51" s="36">
        <f>P51</f>
        <v>0</v>
      </c>
      <c r="E51" s="36">
        <f>Q51</f>
        <v>0</v>
      </c>
      <c r="F51" s="36">
        <f>R51</f>
        <v>0</v>
      </c>
      <c r="G51" s="36">
        <f>S51</f>
        <v>0</v>
      </c>
      <c r="H51" s="36">
        <f>T51</f>
        <v>0</v>
      </c>
      <c r="I51" s="36">
        <f>U51</f>
        <v>0</v>
      </c>
      <c r="J51" s="36">
        <f>V51</f>
        <v>0</v>
      </c>
      <c r="K51" s="36">
        <f>W51</f>
        <v>0</v>
      </c>
      <c r="L51" s="36">
        <f>X51</f>
        <v>0</v>
      </c>
      <c r="M51" s="36">
        <f>Y51</f>
        <v>0</v>
      </c>
      <c r="N51" s="46">
        <f>IFERROR(IF(MONTH(Calculations!$C6)=MONTH(Output!N$35),Calculations!$Y6,0),0)+IFERROR(IF(MONTH(Calculations!$F6)=MONTH(Output!N$35),Calculations!$Y6,0),0)</f>
        <v>0</v>
      </c>
      <c r="O51" s="46">
        <f>IFERROR(IF(MONTH(Calculations!$C6)=MONTH(Output!O$35),Calculations!$Y6,0),0)+IFERROR(IF(MONTH(Calculations!$F6)=MONTH(Output!O$35),Calculations!$Y6,0),0)</f>
        <v>0</v>
      </c>
      <c r="P51" s="46">
        <f>IFERROR(IF(MONTH(Calculations!$C6)=MONTH(Output!P$35),Calculations!$Y6,0),0)+IFERROR(IF(MONTH(Calculations!$F6)=MONTH(Output!P$35),Calculations!$Y6,0),0)</f>
        <v>0</v>
      </c>
      <c r="Q51" s="46">
        <f>IFERROR(IF(MONTH(Calculations!$C6)=MONTH(Output!Q$35),Calculations!$Y6,0),0)+IFERROR(IF(MONTH(Calculations!$F6)=MONTH(Output!Q$35),Calculations!$Y6,0),0)</f>
        <v>0</v>
      </c>
      <c r="R51" s="46">
        <f>IFERROR(IF(MONTH(Calculations!$C6)=MONTH(Output!R$35),Calculations!$Y6,0),0)+IFERROR(IF(MONTH(Calculations!$F6)=MONTH(Output!R$35),Calculations!$Y6,0),0)</f>
        <v>0</v>
      </c>
      <c r="S51" s="46">
        <f>IFERROR(IF(MONTH(Calculations!$C6)=MONTH(Output!S$35),Calculations!$Y6,0),0)+IFERROR(IF(MONTH(Calculations!$F6)=MONTH(Output!S$35),Calculations!$Y6,0),0)</f>
        <v>0</v>
      </c>
      <c r="T51" s="46">
        <f>IFERROR(IF(MONTH(Calculations!$C6)=MONTH(Output!T$35),Calculations!$Y6,0),0)+IFERROR(IF(MONTH(Calculations!$F6)=MONTH(Output!T$35),Calculations!$Y6,0),0)</f>
        <v>0</v>
      </c>
      <c r="U51" s="46">
        <f>IFERROR(IF(MONTH(Calculations!$C6)=MONTH(Output!U$35),Calculations!$Y6,0),0)+IFERROR(IF(MONTH(Calculations!$F6)=MONTH(Output!U$35),Calculations!$Y6,0),0)</f>
        <v>0</v>
      </c>
      <c r="V51" s="46">
        <f>IFERROR(IF(MONTH(Calculations!$C6)=MONTH(Output!V$35),Calculations!$Y6,0),0)+IFERROR(IF(MONTH(Calculations!$F6)=MONTH(Output!V$35),Calculations!$Y6,0),0)</f>
        <v>0</v>
      </c>
      <c r="W51" s="46">
        <f>IFERROR(IF(MONTH(Calculations!$C6)=MONTH(Output!W$35),Calculations!$Y6,0),0)+IFERROR(IF(MONTH(Calculations!$F6)=MONTH(Output!W$35),Calculations!$Y6,0),0)</f>
        <v>0</v>
      </c>
      <c r="X51" s="46">
        <f>IFERROR(IF(MONTH(Calculations!$C6)=MONTH(Output!X$35),Calculations!$Y6,0),0)+IFERROR(IF(MONTH(Calculations!$F6)=MONTH(Output!X$35),Calculations!$Y6,0),0)</f>
        <v>0</v>
      </c>
      <c r="Y51" s="46">
        <f>IFERROR(IF(MONTH(Calculations!$C6)=MONTH(Output!Y$35),Calculations!$Y6,0),0)+IFERROR(IF(MONTH(Calculations!$F6)=MONTH(Output!Y$35),Calculations!$Y6,0),0)</f>
        <v>0</v>
      </c>
      <c r="Z51" s="46">
        <f>SUMIF($B$13:$Y$13,"Yes",B51:Y51)</f>
        <v>0</v>
      </c>
      <c r="AA51" s="46">
        <f>SUM(B51:M51)</f>
        <v>0</v>
      </c>
      <c r="AB51" s="46">
        <f>SUM(B51:Y51)</f>
        <v>0</v>
      </c>
    </row>
    <row r="52" spans="1:30" hidden="true" outlineLevel="1">
      <c r="A52" s="181">
        <f>Calculations!$A$7</f>
        <v/>
      </c>
      <c r="B52" s="36">
        <f>N52</f>
        <v>0</v>
      </c>
      <c r="C52" s="36">
        <f>O52</f>
        <v>0</v>
      </c>
      <c r="D52" s="36">
        <f>P52</f>
        <v>0</v>
      </c>
      <c r="E52" s="36">
        <f>Q52</f>
        <v>0</v>
      </c>
      <c r="F52" s="36">
        <f>R52</f>
        <v>0</v>
      </c>
      <c r="G52" s="36">
        <f>S52</f>
        <v>0</v>
      </c>
      <c r="H52" s="36">
        <f>T52</f>
        <v>0</v>
      </c>
      <c r="I52" s="36">
        <f>U52</f>
        <v>0</v>
      </c>
      <c r="J52" s="36">
        <f>V52</f>
        <v>0</v>
      </c>
      <c r="K52" s="36">
        <f>W52</f>
        <v>0</v>
      </c>
      <c r="L52" s="36">
        <f>X52</f>
        <v>0</v>
      </c>
      <c r="M52" s="36">
        <f>Y52</f>
        <v>0</v>
      </c>
      <c r="N52" s="46">
        <f>IFERROR(IF(MONTH(Calculations!$C7)=MONTH(Output!N$35),Calculations!$Y7,0),0)+IFERROR(IF(MONTH(Calculations!$F7)=MONTH(Output!N$35),Calculations!$Y7,0),0)</f>
        <v>0</v>
      </c>
      <c r="O52" s="46">
        <f>IFERROR(IF(MONTH(Calculations!$C7)=MONTH(Output!O$35),Calculations!$Y7,0),0)+IFERROR(IF(MONTH(Calculations!$F7)=MONTH(Output!O$35),Calculations!$Y7,0),0)</f>
        <v>0</v>
      </c>
      <c r="P52" s="46">
        <f>IFERROR(IF(MONTH(Calculations!$C7)=MONTH(Output!P$35),Calculations!$Y7,0),0)+IFERROR(IF(MONTH(Calculations!$F7)=MONTH(Output!P$35),Calculations!$Y7,0),0)</f>
        <v>0</v>
      </c>
      <c r="Q52" s="46">
        <f>IFERROR(IF(MONTH(Calculations!$C7)=MONTH(Output!Q$35),Calculations!$Y7,0),0)+IFERROR(IF(MONTH(Calculations!$F7)=MONTH(Output!Q$35),Calculations!$Y7,0),0)</f>
        <v>0</v>
      </c>
      <c r="R52" s="46">
        <f>IFERROR(IF(MONTH(Calculations!$C7)=MONTH(Output!R$35),Calculations!$Y7,0),0)+IFERROR(IF(MONTH(Calculations!$F7)=MONTH(Output!R$35),Calculations!$Y7,0),0)</f>
        <v>0</v>
      </c>
      <c r="S52" s="46">
        <f>IFERROR(IF(MONTH(Calculations!$C7)=MONTH(Output!S$35),Calculations!$Y7,0),0)+IFERROR(IF(MONTH(Calculations!$F7)=MONTH(Output!S$35),Calculations!$Y7,0),0)</f>
        <v>0</v>
      </c>
      <c r="T52" s="46">
        <f>IFERROR(IF(MONTH(Calculations!$C7)=MONTH(Output!T$35),Calculations!$Y7,0),0)+IFERROR(IF(MONTH(Calculations!$F7)=MONTH(Output!T$35),Calculations!$Y7,0),0)</f>
        <v>0</v>
      </c>
      <c r="U52" s="46">
        <f>IFERROR(IF(MONTH(Calculations!$C7)=MONTH(Output!U$35),Calculations!$Y7,0),0)+IFERROR(IF(MONTH(Calculations!$F7)=MONTH(Output!U$35),Calculations!$Y7,0),0)</f>
        <v>0</v>
      </c>
      <c r="V52" s="46">
        <f>IFERROR(IF(MONTH(Calculations!$C7)=MONTH(Output!V$35),Calculations!$Y7,0),0)+IFERROR(IF(MONTH(Calculations!$F7)=MONTH(Output!V$35),Calculations!$Y7,0),0)</f>
        <v>0</v>
      </c>
      <c r="W52" s="46">
        <f>IFERROR(IF(MONTH(Calculations!$C7)=MONTH(Output!W$35),Calculations!$Y7,0),0)+IFERROR(IF(MONTH(Calculations!$F7)=MONTH(Output!W$35),Calculations!$Y7,0),0)</f>
        <v>0</v>
      </c>
      <c r="X52" s="46">
        <f>IFERROR(IF(MONTH(Calculations!$C7)=MONTH(Output!X$35),Calculations!$Y7,0),0)+IFERROR(IF(MONTH(Calculations!$F7)=MONTH(Output!X$35),Calculations!$Y7,0),0)</f>
        <v>0</v>
      </c>
      <c r="Y52" s="46">
        <f>IFERROR(IF(MONTH(Calculations!$C7)=MONTH(Output!Y$35),Calculations!$Y7,0),0)+IFERROR(IF(MONTH(Calculations!$F7)=MONTH(Output!Y$35),Calculations!$Y7,0),0)</f>
        <v>0</v>
      </c>
      <c r="Z52" s="46">
        <f>SUMIF($B$13:$Y$13,"Yes",B52:Y52)</f>
        <v>0</v>
      </c>
      <c r="AA52" s="46">
        <f>SUM(B52:M52)</f>
        <v>0</v>
      </c>
      <c r="AB52" s="46">
        <f>SUM(B52:Y52)</f>
        <v>0</v>
      </c>
    </row>
    <row r="53" spans="1:30" hidden="true" outlineLevel="1">
      <c r="A53" s="181">
        <f>Calculations!$A$8</f>
        <v/>
      </c>
      <c r="B53" s="36">
        <f>N53</f>
        <v>0</v>
      </c>
      <c r="C53" s="36">
        <f>O53</f>
        <v>0</v>
      </c>
      <c r="D53" s="36">
        <f>P53</f>
        <v>0</v>
      </c>
      <c r="E53" s="36">
        <f>Q53</f>
        <v>0</v>
      </c>
      <c r="F53" s="36">
        <f>R53</f>
        <v>0</v>
      </c>
      <c r="G53" s="36">
        <f>S53</f>
        <v>0</v>
      </c>
      <c r="H53" s="36">
        <f>T53</f>
        <v>0</v>
      </c>
      <c r="I53" s="36">
        <f>U53</f>
        <v>0</v>
      </c>
      <c r="J53" s="36">
        <f>V53</f>
        <v>0</v>
      </c>
      <c r="K53" s="36">
        <f>W53</f>
        <v>0</v>
      </c>
      <c r="L53" s="36">
        <f>X53</f>
        <v>0</v>
      </c>
      <c r="M53" s="36">
        <f>Y53</f>
        <v>0</v>
      </c>
      <c r="N53" s="46">
        <f>IFERROR(IF(MONTH(Calculations!$C8)=MONTH(Output!N$35),Calculations!$Y8,0),0)+IFERROR(IF(MONTH(Calculations!$F8)=MONTH(Output!N$35),Calculations!$Y8,0),0)</f>
        <v>0</v>
      </c>
      <c r="O53" s="46">
        <f>IFERROR(IF(MONTH(Calculations!$C8)=MONTH(Output!O$35),Calculations!$Y8,0),0)+IFERROR(IF(MONTH(Calculations!$F8)=MONTH(Output!O$35),Calculations!$Y8,0),0)</f>
        <v>0</v>
      </c>
      <c r="P53" s="46">
        <f>IFERROR(IF(MONTH(Calculations!$C8)=MONTH(Output!P$35),Calculations!$Y8,0),0)+IFERROR(IF(MONTH(Calculations!$F8)=MONTH(Output!P$35),Calculations!$Y8,0),0)</f>
        <v>0</v>
      </c>
      <c r="Q53" s="46">
        <f>IFERROR(IF(MONTH(Calculations!$C8)=MONTH(Output!Q$35),Calculations!$Y8,0),0)+IFERROR(IF(MONTH(Calculations!$F8)=MONTH(Output!Q$35),Calculations!$Y8,0),0)</f>
        <v>0</v>
      </c>
      <c r="R53" s="46">
        <f>IFERROR(IF(MONTH(Calculations!$C8)=MONTH(Output!R$35),Calculations!$Y8,0),0)+IFERROR(IF(MONTH(Calculations!$F8)=MONTH(Output!R$35),Calculations!$Y8,0),0)</f>
        <v>0</v>
      </c>
      <c r="S53" s="46">
        <f>IFERROR(IF(MONTH(Calculations!$C8)=MONTH(Output!S$35),Calculations!$Y8,0),0)+IFERROR(IF(MONTH(Calculations!$F8)=MONTH(Output!S$35),Calculations!$Y8,0),0)</f>
        <v>0</v>
      </c>
      <c r="T53" s="46">
        <f>IFERROR(IF(MONTH(Calculations!$C8)=MONTH(Output!T$35),Calculations!$Y8,0),0)+IFERROR(IF(MONTH(Calculations!$F8)=MONTH(Output!T$35),Calculations!$Y8,0),0)</f>
        <v>0</v>
      </c>
      <c r="U53" s="46">
        <f>IFERROR(IF(MONTH(Calculations!$C8)=MONTH(Output!U$35),Calculations!$Y8,0),0)+IFERROR(IF(MONTH(Calculations!$F8)=MONTH(Output!U$35),Calculations!$Y8,0),0)</f>
        <v>0</v>
      </c>
      <c r="V53" s="46">
        <f>IFERROR(IF(MONTH(Calculations!$C8)=MONTH(Output!V$35),Calculations!$Y8,0),0)+IFERROR(IF(MONTH(Calculations!$F8)=MONTH(Output!V$35),Calculations!$Y8,0),0)</f>
        <v>0</v>
      </c>
      <c r="W53" s="46">
        <f>IFERROR(IF(MONTH(Calculations!$C8)=MONTH(Output!W$35),Calculations!$Y8,0),0)+IFERROR(IF(MONTH(Calculations!$F8)=MONTH(Output!W$35),Calculations!$Y8,0),0)</f>
        <v>0</v>
      </c>
      <c r="X53" s="46">
        <f>IFERROR(IF(MONTH(Calculations!$C8)=MONTH(Output!X$35),Calculations!$Y8,0),0)+IFERROR(IF(MONTH(Calculations!$F8)=MONTH(Output!X$35),Calculations!$Y8,0),0)</f>
        <v>0</v>
      </c>
      <c r="Y53" s="46">
        <f>IFERROR(IF(MONTH(Calculations!$C8)=MONTH(Output!Y$35),Calculations!$Y8,0),0)+IFERROR(IF(MONTH(Calculations!$F8)=MONTH(Output!Y$35),Calculations!$Y8,0),0)</f>
        <v>0</v>
      </c>
      <c r="Z53" s="46">
        <f>SUMIF($B$13:$Y$13,"Yes",B53:Y53)</f>
        <v>0</v>
      </c>
      <c r="AA53" s="46">
        <f>SUM(B53:M53)</f>
        <v>0</v>
      </c>
      <c r="AB53" s="46">
        <f>SUM(B53:Y53)</f>
        <v>0</v>
      </c>
    </row>
    <row r="54" spans="1:30" collapsed="true">
      <c r="A54" s="16" t="s">
        <v>42</v>
      </c>
      <c r="B54" s="36">
        <f>N54</f>
        <v>0</v>
      </c>
      <c r="C54" s="36">
        <f>O54</f>
        <v>0</v>
      </c>
      <c r="D54" s="36">
        <f>P54</f>
        <v>0</v>
      </c>
      <c r="E54" s="36">
        <f>Q54</f>
        <v>0</v>
      </c>
      <c r="F54" s="36">
        <f>R54</f>
        <v>0</v>
      </c>
      <c r="G54" s="36">
        <f>S54</f>
        <v>0</v>
      </c>
      <c r="H54" s="36">
        <f>T54</f>
        <v>0</v>
      </c>
      <c r="I54" s="36">
        <f>U54</f>
        <v>0</v>
      </c>
      <c r="J54" s="36">
        <f>V54</f>
        <v>0</v>
      </c>
      <c r="K54" s="36">
        <f>W54</f>
        <v>0</v>
      </c>
      <c r="L54" s="36">
        <f>X54</f>
        <v>0</v>
      </c>
      <c r="M54" s="36">
        <f>Y54</f>
        <v>0</v>
      </c>
      <c r="N54" s="46">
        <f>SUM(N55:N59)</f>
        <v>0</v>
      </c>
      <c r="O54" s="46">
        <f>SUM(O55:O59)</f>
        <v>0</v>
      </c>
      <c r="P54" s="46">
        <f>SUM(P55:P59)</f>
        <v>0</v>
      </c>
      <c r="Q54" s="46">
        <f>SUM(Q55:Q59)</f>
        <v>0</v>
      </c>
      <c r="R54" s="46">
        <f>SUM(R55:R59)</f>
        <v>0</v>
      </c>
      <c r="S54" s="46">
        <f>SUM(S55:S59)</f>
        <v>0</v>
      </c>
      <c r="T54" s="46">
        <f>SUM(T55:T59)</f>
        <v>0</v>
      </c>
      <c r="U54" s="46">
        <f>SUM(U55:U59)</f>
        <v>0</v>
      </c>
      <c r="V54" s="46">
        <f>SUM(V55:V59)</f>
        <v>0</v>
      </c>
      <c r="W54" s="46">
        <f>SUM(W55:W59)</f>
        <v>0</v>
      </c>
      <c r="X54" s="46">
        <f>SUM(X55:X59)</f>
        <v>0</v>
      </c>
      <c r="Y54" s="46">
        <f>SUM(Y55:Y59)</f>
        <v>0</v>
      </c>
      <c r="Z54" s="46">
        <f>SUMIF($B$13:$Y$13,"Yes",B54:Y54)</f>
        <v>0</v>
      </c>
      <c r="AA54" s="46">
        <f>SUM(B54:M54)</f>
        <v>0</v>
      </c>
      <c r="AB54" s="46">
        <f>SUM(B54:Y54)</f>
        <v>0</v>
      </c>
    </row>
    <row r="55" spans="1:30" hidden="true" outlineLevel="1">
      <c r="A55" s="181" t="str">
        <f>Calculations!$A$4</f>
        <v>Bananas</v>
      </c>
      <c r="B55" s="36">
        <f>N55</f>
        <v>0</v>
      </c>
      <c r="C55" s="36">
        <f>O55</f>
        <v>0</v>
      </c>
      <c r="D55" s="36">
        <f>P55</f>
        <v>0</v>
      </c>
      <c r="E55" s="36">
        <f>Q55</f>
        <v>0</v>
      </c>
      <c r="F55" s="36">
        <f>R55</f>
        <v>0</v>
      </c>
      <c r="G55" s="36">
        <f>S55</f>
        <v>0</v>
      </c>
      <c r="H55" s="36">
        <f>T55</f>
        <v>0</v>
      </c>
      <c r="I55" s="36">
        <f>U55</f>
        <v>0</v>
      </c>
      <c r="J55" s="36">
        <f>V55</f>
        <v>0</v>
      </c>
      <c r="K55" s="36">
        <f>W55</f>
        <v>0</v>
      </c>
      <c r="L55" s="36">
        <f>X55</f>
        <v>0</v>
      </c>
      <c r="M55" s="36">
        <f>Y55</f>
        <v>0</v>
      </c>
      <c r="N55" s="46">
        <f>IFERROR(IF(MONTH(Calculations!$D4)=MONTH(Output!N$35),Calculations!$AA4,0),0)+IFERROR(IF(MONTH(Calculations!$G4)=MONTH(Output!N$35),Calculations!$AA4,0),0)</f>
        <v>0</v>
      </c>
      <c r="O55" s="46">
        <f>IFERROR(IF(MONTH(Calculations!$D4)=MONTH(Output!O$35),Calculations!$AA4,0),0)+IFERROR(IF(MONTH(Calculations!$G4)=MONTH(Output!O$35),Calculations!$AA4,0),0)</f>
        <v>0</v>
      </c>
      <c r="P55" s="46">
        <f>IFERROR(IF(MONTH(Calculations!$D4)=MONTH(Output!P$35),Calculations!$AA4,0),0)+IFERROR(IF(MONTH(Calculations!$G4)=MONTH(Output!P$35),Calculations!$AA4,0),0)</f>
        <v>0</v>
      </c>
      <c r="Q55" s="46">
        <f>IFERROR(IF(MONTH(Calculations!$D4)=MONTH(Output!Q$35),Calculations!$AA4,0),0)+IFERROR(IF(MONTH(Calculations!$G4)=MONTH(Output!Q$35),Calculations!$AA4,0),0)</f>
        <v>0</v>
      </c>
      <c r="R55" s="46">
        <f>IFERROR(IF(MONTH(Calculations!$D4)=MONTH(Output!R$35),Calculations!$AA4,0),0)+IFERROR(IF(MONTH(Calculations!$G4)=MONTH(Output!R$35),Calculations!$AA4,0),0)</f>
        <v>0</v>
      </c>
      <c r="S55" s="46">
        <f>IFERROR(IF(MONTH(Calculations!$D4)=MONTH(Output!S$35),Calculations!$AA4,0),0)+IFERROR(IF(MONTH(Calculations!$G4)=MONTH(Output!S$35),Calculations!$AA4,0),0)</f>
        <v>0</v>
      </c>
      <c r="T55" s="46">
        <f>IFERROR(IF(MONTH(Calculations!$D4)=MONTH(Output!T$35),Calculations!$AA4,0),0)+IFERROR(IF(MONTH(Calculations!$G4)=MONTH(Output!T$35),Calculations!$AA4,0),0)</f>
        <v>0</v>
      </c>
      <c r="U55" s="46">
        <f>IFERROR(IF(MONTH(Calculations!$D4)=MONTH(Output!U$35),Calculations!$AA4,0),0)+IFERROR(IF(MONTH(Calculations!$G4)=MONTH(Output!U$35),Calculations!$AA4,0),0)</f>
        <v>0</v>
      </c>
      <c r="V55" s="46">
        <f>IFERROR(IF(MONTH(Calculations!$D4)=MONTH(Output!V$35),Calculations!$AA4,0),0)+IFERROR(IF(MONTH(Calculations!$G4)=MONTH(Output!V$35),Calculations!$AA4,0),0)</f>
        <v>0</v>
      </c>
      <c r="W55" s="46">
        <f>IFERROR(IF(MONTH(Calculations!$D4)=MONTH(Output!W$35),Calculations!$AA4,0),0)+IFERROR(IF(MONTH(Calculations!$G4)=MONTH(Output!W$35),Calculations!$AA4,0),0)</f>
        <v>0</v>
      </c>
      <c r="X55" s="46">
        <f>IFERROR(IF(MONTH(Calculations!$D4)=MONTH(Output!X$35),Calculations!$AA4,0),0)+IFERROR(IF(MONTH(Calculations!$G4)=MONTH(Output!X$35),Calculations!$AA4,0),0)</f>
        <v>0</v>
      </c>
      <c r="Y55" s="46">
        <f>IFERROR(IF(MONTH(Calculations!$D4)=MONTH(Output!Y$35),Calculations!$AA4,0),0)+IFERROR(IF(MONTH(Calculations!$G4)=MONTH(Output!Y$35),Calculations!$AA4,0),0)</f>
        <v>0</v>
      </c>
      <c r="Z55" s="46">
        <f>SUMIF($B$13:$Y$13,"Yes",B55:Y55)</f>
        <v>0</v>
      </c>
      <c r="AA55" s="46">
        <f>SUM(B55:M55)</f>
        <v>0</v>
      </c>
      <c r="AB55" s="46">
        <f>SUM(B55:Y55)</f>
        <v>0</v>
      </c>
    </row>
    <row r="56" spans="1:30" hidden="true" outlineLevel="1">
      <c r="A56" s="181" t="str">
        <f>Calculations!$A$5</f>
        <v>Other crops</v>
      </c>
      <c r="B56" s="36">
        <f>N56</f>
        <v>0</v>
      </c>
      <c r="C56" s="36">
        <f>O56</f>
        <v>0</v>
      </c>
      <c r="D56" s="36">
        <f>P56</f>
        <v>0</v>
      </c>
      <c r="E56" s="36">
        <f>Q56</f>
        <v>0</v>
      </c>
      <c r="F56" s="36">
        <f>R56</f>
        <v>0</v>
      </c>
      <c r="G56" s="36">
        <f>S56</f>
        <v>0</v>
      </c>
      <c r="H56" s="36">
        <f>T56</f>
        <v>0</v>
      </c>
      <c r="I56" s="36">
        <f>U56</f>
        <v>0</v>
      </c>
      <c r="J56" s="36">
        <f>V56</f>
        <v>0</v>
      </c>
      <c r="K56" s="36">
        <f>W56</f>
        <v>0</v>
      </c>
      <c r="L56" s="36">
        <f>X56</f>
        <v>0</v>
      </c>
      <c r="M56" s="36">
        <f>Y56</f>
        <v>0</v>
      </c>
      <c r="N56" s="46">
        <f>IFERROR(IF(MONTH(Calculations!$D5)=MONTH(Output!N$35),Calculations!$AA5,0),0)+IFERROR(IF(MONTH(Calculations!$G5)=MONTH(Output!N$35),Calculations!$AA5,0),0)</f>
        <v>0</v>
      </c>
      <c r="O56" s="46">
        <f>IFERROR(IF(MONTH(Calculations!$D5)=MONTH(Output!O$35),Calculations!$AA5,0),0)+IFERROR(IF(MONTH(Calculations!$G5)=MONTH(Output!O$35),Calculations!$AA5,0),0)</f>
        <v>0</v>
      </c>
      <c r="P56" s="46">
        <f>IFERROR(IF(MONTH(Calculations!$D5)=MONTH(Output!P$35),Calculations!$AA5,0),0)+IFERROR(IF(MONTH(Calculations!$G5)=MONTH(Output!P$35),Calculations!$AA5,0),0)</f>
        <v>0</v>
      </c>
      <c r="Q56" s="46">
        <f>IFERROR(IF(MONTH(Calculations!$D5)=MONTH(Output!Q$35),Calculations!$AA5,0),0)+IFERROR(IF(MONTH(Calculations!$G5)=MONTH(Output!Q$35),Calculations!$AA5,0),0)</f>
        <v>0</v>
      </c>
      <c r="R56" s="46">
        <f>IFERROR(IF(MONTH(Calculations!$D5)=MONTH(Output!R$35),Calculations!$AA5,0),0)+IFERROR(IF(MONTH(Calculations!$G5)=MONTH(Output!R$35),Calculations!$AA5,0),0)</f>
        <v>0</v>
      </c>
      <c r="S56" s="46">
        <f>IFERROR(IF(MONTH(Calculations!$D5)=MONTH(Output!S$35),Calculations!$AA5,0),0)+IFERROR(IF(MONTH(Calculations!$G5)=MONTH(Output!S$35),Calculations!$AA5,0),0)</f>
        <v>0</v>
      </c>
      <c r="T56" s="46">
        <f>IFERROR(IF(MONTH(Calculations!$D5)=MONTH(Output!T$35),Calculations!$AA5,0),0)+IFERROR(IF(MONTH(Calculations!$G5)=MONTH(Output!T$35),Calculations!$AA5,0),0)</f>
        <v>0</v>
      </c>
      <c r="U56" s="46">
        <f>IFERROR(IF(MONTH(Calculations!$D5)=MONTH(Output!U$35),Calculations!$AA5,0),0)+IFERROR(IF(MONTH(Calculations!$G5)=MONTH(Output!U$35),Calculations!$AA5,0),0)</f>
        <v>0</v>
      </c>
      <c r="V56" s="46">
        <f>IFERROR(IF(MONTH(Calculations!$D5)=MONTH(Output!V$35),Calculations!$AA5,0),0)+IFERROR(IF(MONTH(Calculations!$G5)=MONTH(Output!V$35),Calculations!$AA5,0),0)</f>
        <v>0</v>
      </c>
      <c r="W56" s="46">
        <f>IFERROR(IF(MONTH(Calculations!$D5)=MONTH(Output!W$35),Calculations!$AA5,0),0)+IFERROR(IF(MONTH(Calculations!$G5)=MONTH(Output!W$35),Calculations!$AA5,0),0)</f>
        <v>0</v>
      </c>
      <c r="X56" s="46">
        <f>IFERROR(IF(MONTH(Calculations!$D5)=MONTH(Output!X$35),Calculations!$AA5,0),0)+IFERROR(IF(MONTH(Calculations!$G5)=MONTH(Output!X$35),Calculations!$AA5,0),0)</f>
        <v>0</v>
      </c>
      <c r="Y56" s="46">
        <f>IFERROR(IF(MONTH(Calculations!$D5)=MONTH(Output!Y$35),Calculations!$AA5,0),0)+IFERROR(IF(MONTH(Calculations!$G5)=MONTH(Output!Y$35),Calculations!$AA5,0),0)</f>
        <v>0</v>
      </c>
      <c r="Z56" s="46">
        <f>SUMIF($B$13:$Y$13,"Yes",B56:Y56)</f>
        <v>0</v>
      </c>
      <c r="AA56" s="46">
        <f>SUM(B56:M56)</f>
        <v>0</v>
      </c>
      <c r="AB56" s="46">
        <f>SUM(B56:Y56)</f>
        <v>0</v>
      </c>
    </row>
    <row r="57" spans="1:30" hidden="true" outlineLevel="1">
      <c r="A57" s="181" t="str">
        <f>Calculations!$A$6</f>
        <v>Maize</v>
      </c>
      <c r="B57" s="36">
        <f>N57</f>
        <v>0</v>
      </c>
      <c r="C57" s="36">
        <f>O57</f>
        <v>0</v>
      </c>
      <c r="D57" s="36">
        <f>P57</f>
        <v>0</v>
      </c>
      <c r="E57" s="36">
        <f>Q57</f>
        <v>0</v>
      </c>
      <c r="F57" s="36">
        <f>R57</f>
        <v>0</v>
      </c>
      <c r="G57" s="36">
        <f>S57</f>
        <v>0</v>
      </c>
      <c r="H57" s="36">
        <f>T57</f>
        <v>0</v>
      </c>
      <c r="I57" s="36">
        <f>U57</f>
        <v>0</v>
      </c>
      <c r="J57" s="36">
        <f>V57</f>
        <v>0</v>
      </c>
      <c r="K57" s="36">
        <f>W57</f>
        <v>0</v>
      </c>
      <c r="L57" s="36">
        <f>X57</f>
        <v>0</v>
      </c>
      <c r="M57" s="36">
        <f>Y57</f>
        <v>0</v>
      </c>
      <c r="N57" s="46">
        <f>IFERROR(IF(MONTH(Calculations!$D6)=MONTH(Output!N$35),Calculations!$AA6,0),0)+IFERROR(IF(MONTH(Calculations!$G6)=MONTH(Output!N$35),Calculations!$AA6,0),0)</f>
        <v>0</v>
      </c>
      <c r="O57" s="46">
        <f>IFERROR(IF(MONTH(Calculations!$D6)=MONTH(Output!O$35),Calculations!$AA6,0),0)+IFERROR(IF(MONTH(Calculations!$G6)=MONTH(Output!O$35),Calculations!$AA6,0),0)</f>
        <v>0</v>
      </c>
      <c r="P57" s="46">
        <f>IFERROR(IF(MONTH(Calculations!$D6)=MONTH(Output!P$35),Calculations!$AA6,0),0)+IFERROR(IF(MONTH(Calculations!$G6)=MONTH(Output!P$35),Calculations!$AA6,0),0)</f>
        <v>0</v>
      </c>
      <c r="Q57" s="46">
        <f>IFERROR(IF(MONTH(Calculations!$D6)=MONTH(Output!Q$35),Calculations!$AA6,0),0)+IFERROR(IF(MONTH(Calculations!$G6)=MONTH(Output!Q$35),Calculations!$AA6,0),0)</f>
        <v>0</v>
      </c>
      <c r="R57" s="46">
        <f>IFERROR(IF(MONTH(Calculations!$D6)=MONTH(Output!R$35),Calculations!$AA6,0),0)+IFERROR(IF(MONTH(Calculations!$G6)=MONTH(Output!R$35),Calculations!$AA6,0),0)</f>
        <v>0</v>
      </c>
      <c r="S57" s="46">
        <f>IFERROR(IF(MONTH(Calculations!$D6)=MONTH(Output!S$35),Calculations!$AA6,0),0)+IFERROR(IF(MONTH(Calculations!$G6)=MONTH(Output!S$35),Calculations!$AA6,0),0)</f>
        <v>0</v>
      </c>
      <c r="T57" s="46">
        <f>IFERROR(IF(MONTH(Calculations!$D6)=MONTH(Output!T$35),Calculations!$AA6,0),0)+IFERROR(IF(MONTH(Calculations!$G6)=MONTH(Output!T$35),Calculations!$AA6,0),0)</f>
        <v>0</v>
      </c>
      <c r="U57" s="46">
        <f>IFERROR(IF(MONTH(Calculations!$D6)=MONTH(Output!U$35),Calculations!$AA6,0),0)+IFERROR(IF(MONTH(Calculations!$G6)=MONTH(Output!U$35),Calculations!$AA6,0),0)</f>
        <v>0</v>
      </c>
      <c r="V57" s="46">
        <f>IFERROR(IF(MONTH(Calculations!$D6)=MONTH(Output!V$35),Calculations!$AA6,0),0)+IFERROR(IF(MONTH(Calculations!$G6)=MONTH(Output!V$35),Calculations!$AA6,0),0)</f>
        <v>0</v>
      </c>
      <c r="W57" s="46">
        <f>IFERROR(IF(MONTH(Calculations!$D6)=MONTH(Output!W$35),Calculations!$AA6,0),0)+IFERROR(IF(MONTH(Calculations!$G6)=MONTH(Output!W$35),Calculations!$AA6,0),0)</f>
        <v>0</v>
      </c>
      <c r="X57" s="46">
        <f>IFERROR(IF(MONTH(Calculations!$D6)=MONTH(Output!X$35),Calculations!$AA6,0),0)+IFERROR(IF(MONTH(Calculations!$G6)=MONTH(Output!X$35),Calculations!$AA6,0),0)</f>
        <v>0</v>
      </c>
      <c r="Y57" s="46">
        <f>IFERROR(IF(MONTH(Calculations!$D6)=MONTH(Output!Y$35),Calculations!$AA6,0),0)+IFERROR(IF(MONTH(Calculations!$G6)=MONTH(Output!Y$35),Calculations!$AA6,0),0)</f>
        <v>0</v>
      </c>
      <c r="Z57" s="46">
        <f>SUMIF($B$13:$Y$13,"Yes",B57:Y57)</f>
        <v>0</v>
      </c>
      <c r="AA57" s="46">
        <f>SUM(B57:M57)</f>
        <v>0</v>
      </c>
      <c r="AB57" s="46">
        <f>SUM(B57:Y57)</f>
        <v>0</v>
      </c>
    </row>
    <row r="58" spans="1:30" hidden="true" outlineLevel="1">
      <c r="A58" s="181">
        <f>Calculations!$A$7</f>
        <v/>
      </c>
      <c r="B58" s="36">
        <f>N58</f>
        <v>0</v>
      </c>
      <c r="C58" s="36">
        <f>O58</f>
        <v>0</v>
      </c>
      <c r="D58" s="36">
        <f>P58</f>
        <v>0</v>
      </c>
      <c r="E58" s="36">
        <f>Q58</f>
        <v>0</v>
      </c>
      <c r="F58" s="36">
        <f>R58</f>
        <v>0</v>
      </c>
      <c r="G58" s="36">
        <f>S58</f>
        <v>0</v>
      </c>
      <c r="H58" s="36">
        <f>T58</f>
        <v>0</v>
      </c>
      <c r="I58" s="36">
        <f>U58</f>
        <v>0</v>
      </c>
      <c r="J58" s="36">
        <f>V58</f>
        <v>0</v>
      </c>
      <c r="K58" s="36">
        <f>W58</f>
        <v>0</v>
      </c>
      <c r="L58" s="36">
        <f>X58</f>
        <v>0</v>
      </c>
      <c r="M58" s="36">
        <f>Y58</f>
        <v>0</v>
      </c>
      <c r="N58" s="46">
        <f>IFERROR(IF(MONTH(Calculations!$D7)=MONTH(Output!N$35),Calculations!$AA7,0),0)+IFERROR(IF(MONTH(Calculations!$G7)=MONTH(Output!N$35),Calculations!$AA7,0),0)</f>
        <v>0</v>
      </c>
      <c r="O58" s="46">
        <f>IFERROR(IF(MONTH(Calculations!$D7)=MONTH(Output!O$35),Calculations!$AA7,0),0)+IFERROR(IF(MONTH(Calculations!$G7)=MONTH(Output!O$35),Calculations!$AA7,0),0)</f>
        <v>0</v>
      </c>
      <c r="P58" s="46">
        <f>IFERROR(IF(MONTH(Calculations!$D7)=MONTH(Output!P$35),Calculations!$AA7,0),0)+IFERROR(IF(MONTH(Calculations!$G7)=MONTH(Output!P$35),Calculations!$AA7,0),0)</f>
        <v>0</v>
      </c>
      <c r="Q58" s="46">
        <f>IFERROR(IF(MONTH(Calculations!$D7)=MONTH(Output!Q$35),Calculations!$AA7,0),0)+IFERROR(IF(MONTH(Calculations!$G7)=MONTH(Output!Q$35),Calculations!$AA7,0),0)</f>
        <v>0</v>
      </c>
      <c r="R58" s="46">
        <f>IFERROR(IF(MONTH(Calculations!$D7)=MONTH(Output!R$35),Calculations!$AA7,0),0)+IFERROR(IF(MONTH(Calculations!$G7)=MONTH(Output!R$35),Calculations!$AA7,0),0)</f>
        <v>0</v>
      </c>
      <c r="S58" s="46">
        <f>IFERROR(IF(MONTH(Calculations!$D7)=MONTH(Output!S$35),Calculations!$AA7,0),0)+IFERROR(IF(MONTH(Calculations!$G7)=MONTH(Output!S$35),Calculations!$AA7,0),0)</f>
        <v>0</v>
      </c>
      <c r="T58" s="46">
        <f>IFERROR(IF(MONTH(Calculations!$D7)=MONTH(Output!T$35),Calculations!$AA7,0),0)+IFERROR(IF(MONTH(Calculations!$G7)=MONTH(Output!T$35),Calculations!$AA7,0),0)</f>
        <v>0</v>
      </c>
      <c r="U58" s="46">
        <f>IFERROR(IF(MONTH(Calculations!$D7)=MONTH(Output!U$35),Calculations!$AA7,0),0)+IFERROR(IF(MONTH(Calculations!$G7)=MONTH(Output!U$35),Calculations!$AA7,0),0)</f>
        <v>0</v>
      </c>
      <c r="V58" s="46">
        <f>IFERROR(IF(MONTH(Calculations!$D7)=MONTH(Output!V$35),Calculations!$AA7,0),0)+IFERROR(IF(MONTH(Calculations!$G7)=MONTH(Output!V$35),Calculations!$AA7,0),0)</f>
        <v>0</v>
      </c>
      <c r="W58" s="46">
        <f>IFERROR(IF(MONTH(Calculations!$D7)=MONTH(Output!W$35),Calculations!$AA7,0),0)+IFERROR(IF(MONTH(Calculations!$G7)=MONTH(Output!W$35),Calculations!$AA7,0),0)</f>
        <v>0</v>
      </c>
      <c r="X58" s="46">
        <f>IFERROR(IF(MONTH(Calculations!$D7)=MONTH(Output!X$35),Calculations!$AA7,0),0)+IFERROR(IF(MONTH(Calculations!$G7)=MONTH(Output!X$35),Calculations!$AA7,0),0)</f>
        <v>0</v>
      </c>
      <c r="Y58" s="46">
        <f>IFERROR(IF(MONTH(Calculations!$D7)=MONTH(Output!Y$35),Calculations!$AA7,0),0)+IFERROR(IF(MONTH(Calculations!$G7)=MONTH(Output!Y$35),Calculations!$AA7,0),0)</f>
        <v>0</v>
      </c>
      <c r="Z58" s="46">
        <f>SUMIF($B$13:$Y$13,"Yes",B58:Y58)</f>
        <v>0</v>
      </c>
      <c r="AA58" s="46">
        <f>SUM(B58:M58)</f>
        <v>0</v>
      </c>
      <c r="AB58" s="46">
        <f>SUM(B58:Y58)</f>
        <v>0</v>
      </c>
    </row>
    <row r="59" spans="1:30" hidden="true" outlineLevel="1">
      <c r="A59" s="181">
        <f>Calculations!$A$8</f>
        <v/>
      </c>
      <c r="B59" s="36">
        <f>N59</f>
        <v>0</v>
      </c>
      <c r="C59" s="36">
        <f>O59</f>
        <v>0</v>
      </c>
      <c r="D59" s="36">
        <f>P59</f>
        <v>0</v>
      </c>
      <c r="E59" s="36">
        <f>Q59</f>
        <v>0</v>
      </c>
      <c r="F59" s="36">
        <f>R59</f>
        <v>0</v>
      </c>
      <c r="G59" s="36">
        <f>S59</f>
        <v>0</v>
      </c>
      <c r="H59" s="36">
        <f>T59</f>
        <v>0</v>
      </c>
      <c r="I59" s="36">
        <f>U59</f>
        <v>0</v>
      </c>
      <c r="J59" s="36">
        <f>V59</f>
        <v>0</v>
      </c>
      <c r="K59" s="36">
        <f>W59</f>
        <v>0</v>
      </c>
      <c r="L59" s="36">
        <f>X59</f>
        <v>0</v>
      </c>
      <c r="M59" s="36">
        <f>Y59</f>
        <v>0</v>
      </c>
      <c r="N59" s="46">
        <f>IFERROR(IF(MONTH(Calculations!$D8)=MONTH(Output!N$35),Calculations!$AA8,0),0)+IFERROR(IF(MONTH(Calculations!$G8)=MONTH(Output!N$35),Calculations!$AA8,0),0)</f>
        <v>0</v>
      </c>
      <c r="O59" s="46">
        <f>IFERROR(IF(MONTH(Calculations!$D8)=MONTH(Output!O$35),Calculations!$AA8,0),0)+IFERROR(IF(MONTH(Calculations!$G8)=MONTH(Output!O$35),Calculations!$AA8,0),0)</f>
        <v>0</v>
      </c>
      <c r="P59" s="46">
        <f>IFERROR(IF(MONTH(Calculations!$D8)=MONTH(Output!P$35),Calculations!$AA8,0),0)+IFERROR(IF(MONTH(Calculations!$G8)=MONTH(Output!P$35),Calculations!$AA8,0),0)</f>
        <v>0</v>
      </c>
      <c r="Q59" s="46">
        <f>IFERROR(IF(MONTH(Calculations!$D8)=MONTH(Output!Q$35),Calculations!$AA8,0),0)+IFERROR(IF(MONTH(Calculations!$G8)=MONTH(Output!Q$35),Calculations!$AA8,0),0)</f>
        <v>0</v>
      </c>
      <c r="R59" s="46">
        <f>IFERROR(IF(MONTH(Calculations!$D8)=MONTH(Output!R$35),Calculations!$AA8,0),0)+IFERROR(IF(MONTH(Calculations!$G8)=MONTH(Output!R$35),Calculations!$AA8,0),0)</f>
        <v>0</v>
      </c>
      <c r="S59" s="46">
        <f>IFERROR(IF(MONTH(Calculations!$D8)=MONTH(Output!S$35),Calculations!$AA8,0),0)+IFERROR(IF(MONTH(Calculations!$G8)=MONTH(Output!S$35),Calculations!$AA8,0),0)</f>
        <v>0</v>
      </c>
      <c r="T59" s="46">
        <f>IFERROR(IF(MONTH(Calculations!$D8)=MONTH(Output!T$35),Calculations!$AA8,0),0)+IFERROR(IF(MONTH(Calculations!$G8)=MONTH(Output!T$35),Calculations!$AA8,0),0)</f>
        <v>0</v>
      </c>
      <c r="U59" s="46">
        <f>IFERROR(IF(MONTH(Calculations!$D8)=MONTH(Output!U$35),Calculations!$AA8,0),0)+IFERROR(IF(MONTH(Calculations!$G8)=MONTH(Output!U$35),Calculations!$AA8,0),0)</f>
        <v>0</v>
      </c>
      <c r="V59" s="46">
        <f>IFERROR(IF(MONTH(Calculations!$D8)=MONTH(Output!V$35),Calculations!$AA8,0),0)+IFERROR(IF(MONTH(Calculations!$G8)=MONTH(Output!V$35),Calculations!$AA8,0),0)</f>
        <v>0</v>
      </c>
      <c r="W59" s="46">
        <f>IFERROR(IF(MONTH(Calculations!$D8)=MONTH(Output!W$35),Calculations!$AA8,0),0)+IFERROR(IF(MONTH(Calculations!$G8)=MONTH(Output!W$35),Calculations!$AA8,0),0)</f>
        <v>0</v>
      </c>
      <c r="X59" s="46">
        <f>IFERROR(IF(MONTH(Calculations!$D8)=MONTH(Output!X$35),Calculations!$AA8,0),0)+IFERROR(IF(MONTH(Calculations!$G8)=MONTH(Output!X$35),Calculations!$AA8,0),0)</f>
        <v>0</v>
      </c>
      <c r="Y59" s="46">
        <f>IFERROR(IF(MONTH(Calculations!$D8)=MONTH(Output!Y$35),Calculations!$AA8,0),0)+IFERROR(IF(MONTH(Calculations!$G8)=MONTH(Output!Y$35),Calculations!$AA8,0),0)</f>
        <v>0</v>
      </c>
      <c r="Z59" s="46">
        <f>SUMIF($B$13:$Y$13,"Yes",B59:Y59)</f>
        <v>0</v>
      </c>
      <c r="AA59" s="46">
        <f>SUM(B59:M59)</f>
        <v>0</v>
      </c>
      <c r="AB59" s="46">
        <f>SUM(B59:Y59)</f>
        <v>0</v>
      </c>
    </row>
    <row r="60" spans="1:30" collapsed="true">
      <c r="A60" s="16" t="s">
        <v>43</v>
      </c>
      <c r="B60" s="36">
        <f>N60</f>
        <v>0</v>
      </c>
      <c r="C60" s="36">
        <f>O60</f>
        <v>1000</v>
      </c>
      <c r="D60" s="36">
        <f>P60</f>
        <v>1000</v>
      </c>
      <c r="E60" s="36">
        <f>Q60</f>
        <v>1000</v>
      </c>
      <c r="F60" s="36">
        <f>R60</f>
        <v>1000</v>
      </c>
      <c r="G60" s="36">
        <f>S60</f>
        <v>1000</v>
      </c>
      <c r="H60" s="36">
        <f>T60</f>
        <v>0</v>
      </c>
      <c r="I60" s="36">
        <f>U60</f>
        <v>1000</v>
      </c>
      <c r="J60" s="36">
        <f>V60</f>
        <v>1000</v>
      </c>
      <c r="K60" s="36">
        <f>W60</f>
        <v>1000</v>
      </c>
      <c r="L60" s="36">
        <f>X60</f>
        <v>1000</v>
      </c>
      <c r="M60" s="36">
        <f>Y60</f>
        <v>1000</v>
      </c>
      <c r="N60" s="46">
        <f>SUM(N61:N65)</f>
        <v>0</v>
      </c>
      <c r="O60" s="46">
        <f>SUM(O61:O65)</f>
        <v>1000</v>
      </c>
      <c r="P60" s="46">
        <f>SUM(P61:P65)</f>
        <v>1000</v>
      </c>
      <c r="Q60" s="46">
        <f>SUM(Q61:Q65)</f>
        <v>1000</v>
      </c>
      <c r="R60" s="46">
        <f>SUM(R61:R65)</f>
        <v>1000</v>
      </c>
      <c r="S60" s="46">
        <f>SUM(S61:S65)</f>
        <v>1000</v>
      </c>
      <c r="T60" s="46">
        <f>SUM(T61:T65)</f>
        <v>0</v>
      </c>
      <c r="U60" s="46">
        <f>SUM(U61:U65)</f>
        <v>1000</v>
      </c>
      <c r="V60" s="46">
        <f>SUM(V61:V65)</f>
        <v>1000</v>
      </c>
      <c r="W60" s="46">
        <f>SUM(W61:W65)</f>
        <v>1000</v>
      </c>
      <c r="X60" s="46">
        <f>SUM(X61:X65)</f>
        <v>1000</v>
      </c>
      <c r="Y60" s="46">
        <f>SUM(Y61:Y65)</f>
        <v>1000</v>
      </c>
      <c r="Z60" s="46">
        <f>SUMIF($B$13:$Y$13,"Yes",B60:Y60)</f>
        <v>10000</v>
      </c>
      <c r="AA60" s="46">
        <f>SUM(B60:M60)</f>
        <v>10000</v>
      </c>
      <c r="AB60" s="46">
        <f>SUM(B60:Y60)</f>
        <v>20000</v>
      </c>
    </row>
    <row r="61" spans="1:30" hidden="true" outlineLevel="1">
      <c r="A61" s="181" t="str">
        <f>Calculations!$A$4</f>
        <v>Bananas</v>
      </c>
      <c r="B61" s="36">
        <f>N61</f>
        <v>0</v>
      </c>
      <c r="C61" s="36">
        <f>O61</f>
        <v>0</v>
      </c>
      <c r="D61" s="36">
        <f>P61</f>
        <v>0</v>
      </c>
      <c r="E61" s="36">
        <f>Q61</f>
        <v>0</v>
      </c>
      <c r="F61" s="36">
        <f>R61</f>
        <v>0</v>
      </c>
      <c r="G61" s="36">
        <f>S61</f>
        <v>0</v>
      </c>
      <c r="H61" s="36">
        <f>T61</f>
        <v>0</v>
      </c>
      <c r="I61" s="36">
        <f>U61</f>
        <v>0</v>
      </c>
      <c r="J61" s="36">
        <f>V61</f>
        <v>0</v>
      </c>
      <c r="K61" s="36">
        <f>W61</f>
        <v>0</v>
      </c>
      <c r="L61" s="36">
        <f>X61</f>
        <v>0</v>
      </c>
      <c r="M61" s="36">
        <f>Y61</f>
        <v>0</v>
      </c>
      <c r="N61" s="46">
        <f>IF(Calculations!$S4&lt;&gt;0,IFERROR(IF(MOD(MONTH(Output!N$35)-MONTH(Calculations!$B4),12)&lt;=Calculations!$T4,Calculations!$Z4/(Calculations!$T4+1),0),0)+IFERROR(IF(MOD(MONTH(Output!N$35)-MONTH(Calculations!$E4),12)&lt;=Calculations!$T4,Calculations!$Z4/(Calculations!$T4+1),0),0),Calculations!$Z4/12)</f>
        <v>0</v>
      </c>
      <c r="O61" s="46">
        <f>IF(Calculations!$S4&lt;&gt;0,IFERROR(IF(MOD(MONTH(Output!O$35)-MONTH(Calculations!$B4),12)&lt;=Calculations!$T4,Calculations!$Z4/(Calculations!$T4+1),0),0)+IFERROR(IF(MOD(MONTH(Output!O$35)-MONTH(Calculations!$E4),12)&lt;=Calculations!$T4,Calculations!$Z4/(Calculations!$T4+1),0),0),Calculations!$Z4/12)</f>
        <v>0</v>
      </c>
      <c r="P61" s="46">
        <f>IF(Calculations!$S4&lt;&gt;0,IFERROR(IF(MOD(MONTH(Output!P$35)-MONTH(Calculations!$B4),12)&lt;=Calculations!$T4,Calculations!$Z4/(Calculations!$T4+1),0),0)+IFERROR(IF(MOD(MONTH(Output!P$35)-MONTH(Calculations!$E4),12)&lt;=Calculations!$T4,Calculations!$Z4/(Calculations!$T4+1),0),0),Calculations!$Z4/12)</f>
        <v>0</v>
      </c>
      <c r="Q61" s="46">
        <f>IF(Calculations!$S4&lt;&gt;0,IFERROR(IF(MOD(MONTH(Output!Q$35)-MONTH(Calculations!$B4),12)&lt;=Calculations!$T4,Calculations!$Z4/(Calculations!$T4+1),0),0)+IFERROR(IF(MOD(MONTH(Output!Q$35)-MONTH(Calculations!$E4),12)&lt;=Calculations!$T4,Calculations!$Z4/(Calculations!$T4+1),0),0),Calculations!$Z4/12)</f>
        <v>0</v>
      </c>
      <c r="R61" s="46">
        <f>IF(Calculations!$S4&lt;&gt;0,IFERROR(IF(MOD(MONTH(Output!R$35)-MONTH(Calculations!$B4),12)&lt;=Calculations!$T4,Calculations!$Z4/(Calculations!$T4+1),0),0)+IFERROR(IF(MOD(MONTH(Output!R$35)-MONTH(Calculations!$E4),12)&lt;=Calculations!$T4,Calculations!$Z4/(Calculations!$T4+1),0),0),Calculations!$Z4/12)</f>
        <v>0</v>
      </c>
      <c r="S61" s="46">
        <f>IF(Calculations!$S4&lt;&gt;0,IFERROR(IF(MOD(MONTH(Output!S$35)-MONTH(Calculations!$B4),12)&lt;=Calculations!$T4,Calculations!$Z4/(Calculations!$T4+1),0),0)+IFERROR(IF(MOD(MONTH(Output!S$35)-MONTH(Calculations!$E4),12)&lt;=Calculations!$T4,Calculations!$Z4/(Calculations!$T4+1),0),0),Calculations!$Z4/12)</f>
        <v>0</v>
      </c>
      <c r="T61" s="46">
        <f>IF(Calculations!$S4&lt;&gt;0,IFERROR(IF(MOD(MONTH(Output!T$35)-MONTH(Calculations!$B4),12)&lt;=Calculations!$T4,Calculations!$Z4/(Calculations!$T4+1),0),0)+IFERROR(IF(MOD(MONTH(Output!T$35)-MONTH(Calculations!$E4),12)&lt;=Calculations!$T4,Calculations!$Z4/(Calculations!$T4+1),0),0),Calculations!$Z4/12)</f>
        <v>0</v>
      </c>
      <c r="U61" s="46">
        <f>IF(Calculations!$S4&lt;&gt;0,IFERROR(IF(MOD(MONTH(Output!U$35)-MONTH(Calculations!$B4),12)&lt;=Calculations!$T4,Calculations!$Z4/(Calculations!$T4+1),0),0)+IFERROR(IF(MOD(MONTH(Output!U$35)-MONTH(Calculations!$E4),12)&lt;=Calculations!$T4,Calculations!$Z4/(Calculations!$T4+1),0),0),Calculations!$Z4/12)</f>
        <v>0</v>
      </c>
      <c r="V61" s="46">
        <f>IF(Calculations!$S4&lt;&gt;0,IFERROR(IF(MOD(MONTH(Output!V$35)-MONTH(Calculations!$B4),12)&lt;=Calculations!$T4,Calculations!$Z4/(Calculations!$T4+1),0),0)+IFERROR(IF(MOD(MONTH(Output!V$35)-MONTH(Calculations!$E4),12)&lt;=Calculations!$T4,Calculations!$Z4/(Calculations!$T4+1),0),0),Calculations!$Z4/12)</f>
        <v>0</v>
      </c>
      <c r="W61" s="46">
        <f>IF(Calculations!$S4&lt;&gt;0,IFERROR(IF(MOD(MONTH(Output!W$35)-MONTH(Calculations!$B4),12)&lt;=Calculations!$T4,Calculations!$Z4/(Calculations!$T4+1),0),0)+IFERROR(IF(MOD(MONTH(Output!W$35)-MONTH(Calculations!$E4),12)&lt;=Calculations!$T4,Calculations!$Z4/(Calculations!$T4+1),0),0),Calculations!$Z4/12)</f>
        <v>0</v>
      </c>
      <c r="X61" s="46">
        <f>IF(Calculations!$S4&lt;&gt;0,IFERROR(IF(MOD(MONTH(Output!X$35)-MONTH(Calculations!$B4),12)&lt;=Calculations!$T4,Calculations!$Z4/(Calculations!$T4+1),0),0)+IFERROR(IF(MOD(MONTH(Output!X$35)-MONTH(Calculations!$E4),12)&lt;=Calculations!$T4,Calculations!$Z4/(Calculations!$T4+1),0),0),Calculations!$Z4/12)</f>
        <v>0</v>
      </c>
      <c r="Y61" s="46">
        <f>IF(Calculations!$S4&lt;&gt;0,IFERROR(IF(MOD(MONTH(Output!Y$35)-MONTH(Calculations!$B4),12)&lt;=Calculations!$T4,Calculations!$Z4/(Calculations!$T4+1),0),0)+IFERROR(IF(MOD(MONTH(Output!Y$35)-MONTH(Calculations!$E4),12)&lt;=Calculations!$T4,Calculations!$Z4/(Calculations!$T4+1),0),0),Calculations!$Z4/12)</f>
        <v>0</v>
      </c>
      <c r="Z61" s="46">
        <f>SUMIF($B$13:$Y$13,"Yes",B61:Y61)</f>
        <v>0</v>
      </c>
      <c r="AA61" s="46">
        <f>SUM(B61:M61)</f>
        <v>0</v>
      </c>
      <c r="AB61" s="46">
        <f>SUM(B61:Y61)</f>
        <v>0</v>
      </c>
    </row>
    <row r="62" spans="1:30" hidden="true" outlineLevel="1">
      <c r="A62" s="181" t="str">
        <f>Calculations!$A$5</f>
        <v>Other crops</v>
      </c>
      <c r="B62" s="36">
        <f>N62</f>
        <v>0</v>
      </c>
      <c r="C62" s="36">
        <f>O62</f>
        <v>0</v>
      </c>
      <c r="D62" s="36">
        <f>P62</f>
        <v>0</v>
      </c>
      <c r="E62" s="36">
        <f>Q62</f>
        <v>0</v>
      </c>
      <c r="F62" s="36">
        <f>R62</f>
        <v>0</v>
      </c>
      <c r="G62" s="36">
        <f>S62</f>
        <v>0</v>
      </c>
      <c r="H62" s="36">
        <f>T62</f>
        <v>0</v>
      </c>
      <c r="I62" s="36">
        <f>U62</f>
        <v>0</v>
      </c>
      <c r="J62" s="36">
        <f>V62</f>
        <v>0</v>
      </c>
      <c r="K62" s="36">
        <f>W62</f>
        <v>0</v>
      </c>
      <c r="L62" s="36">
        <f>X62</f>
        <v>0</v>
      </c>
      <c r="M62" s="36">
        <f>Y62</f>
        <v>0</v>
      </c>
      <c r="N62" s="46">
        <f>IF(Calculations!$S5&lt;&gt;0,IFERROR(IF(MOD(MONTH(Output!N$35)-MONTH(Calculations!$B5),12)&lt;=Calculations!$T5,Calculations!$Z5/(Calculations!$T5+1),0),0)+IFERROR(IF(MOD(MONTH(Output!N$35)-MONTH(Calculations!$E5),12)&lt;=Calculations!$T5,Calculations!$Z5/(Calculations!$T5+1),0),0),Calculations!$Z5/12)</f>
        <v>0</v>
      </c>
      <c r="O62" s="46">
        <f>IF(Calculations!$S5&lt;&gt;0,IFERROR(IF(MOD(MONTH(Output!O$35)-MONTH(Calculations!$B5),12)&lt;=Calculations!$T5,Calculations!$Z5/(Calculations!$T5+1),0),0)+IFERROR(IF(MOD(MONTH(Output!O$35)-MONTH(Calculations!$E5),12)&lt;=Calculations!$T5,Calculations!$Z5/(Calculations!$T5+1),0),0),Calculations!$Z5/12)</f>
        <v>0</v>
      </c>
      <c r="P62" s="46">
        <f>IF(Calculations!$S5&lt;&gt;0,IFERROR(IF(MOD(MONTH(Output!P$35)-MONTH(Calculations!$B5),12)&lt;=Calculations!$T5,Calculations!$Z5/(Calculations!$T5+1),0),0)+IFERROR(IF(MOD(MONTH(Output!P$35)-MONTH(Calculations!$E5),12)&lt;=Calculations!$T5,Calculations!$Z5/(Calculations!$T5+1),0),0),Calculations!$Z5/12)</f>
        <v>0</v>
      </c>
      <c r="Q62" s="46">
        <f>IF(Calculations!$S5&lt;&gt;0,IFERROR(IF(MOD(MONTH(Output!Q$35)-MONTH(Calculations!$B5),12)&lt;=Calculations!$T5,Calculations!$Z5/(Calculations!$T5+1),0),0)+IFERROR(IF(MOD(MONTH(Output!Q$35)-MONTH(Calculations!$E5),12)&lt;=Calculations!$T5,Calculations!$Z5/(Calculations!$T5+1),0),0),Calculations!$Z5/12)</f>
        <v>0</v>
      </c>
      <c r="R62" s="46">
        <f>IF(Calculations!$S5&lt;&gt;0,IFERROR(IF(MOD(MONTH(Output!R$35)-MONTH(Calculations!$B5),12)&lt;=Calculations!$T5,Calculations!$Z5/(Calculations!$T5+1),0),0)+IFERROR(IF(MOD(MONTH(Output!R$35)-MONTH(Calculations!$E5),12)&lt;=Calculations!$T5,Calculations!$Z5/(Calculations!$T5+1),0),0),Calculations!$Z5/12)</f>
        <v>0</v>
      </c>
      <c r="S62" s="46">
        <f>IF(Calculations!$S5&lt;&gt;0,IFERROR(IF(MOD(MONTH(Output!S$35)-MONTH(Calculations!$B5),12)&lt;=Calculations!$T5,Calculations!$Z5/(Calculations!$T5+1),0),0)+IFERROR(IF(MOD(MONTH(Output!S$35)-MONTH(Calculations!$E5),12)&lt;=Calculations!$T5,Calculations!$Z5/(Calculations!$T5+1),0),0),Calculations!$Z5/12)</f>
        <v>0</v>
      </c>
      <c r="T62" s="46">
        <f>IF(Calculations!$S5&lt;&gt;0,IFERROR(IF(MOD(MONTH(Output!T$35)-MONTH(Calculations!$B5),12)&lt;=Calculations!$T5,Calculations!$Z5/(Calculations!$T5+1),0),0)+IFERROR(IF(MOD(MONTH(Output!T$35)-MONTH(Calculations!$E5),12)&lt;=Calculations!$T5,Calculations!$Z5/(Calculations!$T5+1),0),0),Calculations!$Z5/12)</f>
        <v>0</v>
      </c>
      <c r="U62" s="46">
        <f>IF(Calculations!$S5&lt;&gt;0,IFERROR(IF(MOD(MONTH(Output!U$35)-MONTH(Calculations!$B5),12)&lt;=Calculations!$T5,Calculations!$Z5/(Calculations!$T5+1),0),0)+IFERROR(IF(MOD(MONTH(Output!U$35)-MONTH(Calculations!$E5),12)&lt;=Calculations!$T5,Calculations!$Z5/(Calculations!$T5+1),0),0),Calculations!$Z5/12)</f>
        <v>0</v>
      </c>
      <c r="V62" s="46">
        <f>IF(Calculations!$S5&lt;&gt;0,IFERROR(IF(MOD(MONTH(Output!V$35)-MONTH(Calculations!$B5),12)&lt;=Calculations!$T5,Calculations!$Z5/(Calculations!$T5+1),0),0)+IFERROR(IF(MOD(MONTH(Output!V$35)-MONTH(Calculations!$E5),12)&lt;=Calculations!$T5,Calculations!$Z5/(Calculations!$T5+1),0),0),Calculations!$Z5/12)</f>
        <v>0</v>
      </c>
      <c r="W62" s="46">
        <f>IF(Calculations!$S5&lt;&gt;0,IFERROR(IF(MOD(MONTH(Output!W$35)-MONTH(Calculations!$B5),12)&lt;=Calculations!$T5,Calculations!$Z5/(Calculations!$T5+1),0),0)+IFERROR(IF(MOD(MONTH(Output!W$35)-MONTH(Calculations!$E5),12)&lt;=Calculations!$T5,Calculations!$Z5/(Calculations!$T5+1),0),0),Calculations!$Z5/12)</f>
        <v>0</v>
      </c>
      <c r="X62" s="46">
        <f>IF(Calculations!$S5&lt;&gt;0,IFERROR(IF(MOD(MONTH(Output!X$35)-MONTH(Calculations!$B5),12)&lt;=Calculations!$T5,Calculations!$Z5/(Calculations!$T5+1),0),0)+IFERROR(IF(MOD(MONTH(Output!X$35)-MONTH(Calculations!$E5),12)&lt;=Calculations!$T5,Calculations!$Z5/(Calculations!$T5+1),0),0),Calculations!$Z5/12)</f>
        <v>0</v>
      </c>
      <c r="Y62" s="46">
        <f>IF(Calculations!$S5&lt;&gt;0,IFERROR(IF(MOD(MONTH(Output!Y$35)-MONTH(Calculations!$B5),12)&lt;=Calculations!$T5,Calculations!$Z5/(Calculations!$T5+1),0),0)+IFERROR(IF(MOD(MONTH(Output!Y$35)-MONTH(Calculations!$E5),12)&lt;=Calculations!$T5,Calculations!$Z5/(Calculations!$T5+1),0),0),Calculations!$Z5/12)</f>
        <v>0</v>
      </c>
      <c r="Z62" s="46">
        <f>SUMIF($B$13:$Y$13,"Yes",B62:Y62)</f>
        <v>0</v>
      </c>
      <c r="AA62" s="46">
        <f>SUM(B62:M62)</f>
        <v>0</v>
      </c>
      <c r="AB62" s="46">
        <f>SUM(B62:Y62)</f>
        <v>0</v>
      </c>
    </row>
    <row r="63" spans="1:30" hidden="true" outlineLevel="1">
      <c r="A63" s="181" t="str">
        <f>Calculations!$A$6</f>
        <v>Maize</v>
      </c>
      <c r="B63" s="36">
        <f>N63</f>
        <v>0</v>
      </c>
      <c r="C63" s="36">
        <f>O63</f>
        <v>1000</v>
      </c>
      <c r="D63" s="36">
        <f>P63</f>
        <v>1000</v>
      </c>
      <c r="E63" s="36">
        <f>Q63</f>
        <v>1000</v>
      </c>
      <c r="F63" s="36">
        <f>R63</f>
        <v>1000</v>
      </c>
      <c r="G63" s="36">
        <f>S63</f>
        <v>1000</v>
      </c>
      <c r="H63" s="36">
        <f>T63</f>
        <v>0</v>
      </c>
      <c r="I63" s="36">
        <f>U63</f>
        <v>1000</v>
      </c>
      <c r="J63" s="36">
        <f>V63</f>
        <v>1000</v>
      </c>
      <c r="K63" s="36">
        <f>W63</f>
        <v>1000</v>
      </c>
      <c r="L63" s="36">
        <f>X63</f>
        <v>1000</v>
      </c>
      <c r="M63" s="36">
        <f>Y63</f>
        <v>1000</v>
      </c>
      <c r="N63" s="46">
        <f>IF(Calculations!$S6&lt;&gt;0,IFERROR(IF(MOD(MONTH(Output!N$35)-MONTH(Calculations!$B6),12)&lt;=Calculations!$T6,Calculations!$Z6/(Calculations!$T6+1),0),0)+IFERROR(IF(MOD(MONTH(Output!N$35)-MONTH(Calculations!$E6),12)&lt;=Calculations!$T6,Calculations!$Z6/(Calculations!$T6+1),0),0),Calculations!$Z6/12)</f>
        <v>0</v>
      </c>
      <c r="O63" s="46">
        <f>IF(Calculations!$S6&lt;&gt;0,IFERROR(IF(MOD(MONTH(Output!O$35)-MONTH(Calculations!$B6),12)&lt;=Calculations!$T6,Calculations!$Z6/(Calculations!$T6+1),0),0)+IFERROR(IF(MOD(MONTH(Output!O$35)-MONTH(Calculations!$E6),12)&lt;=Calculations!$T6,Calculations!$Z6/(Calculations!$T6+1),0),0),Calculations!$Z6/12)</f>
        <v>1000</v>
      </c>
      <c r="P63" s="46">
        <f>IF(Calculations!$S6&lt;&gt;0,IFERROR(IF(MOD(MONTH(Output!P$35)-MONTH(Calculations!$B6),12)&lt;=Calculations!$T6,Calculations!$Z6/(Calculations!$T6+1),0),0)+IFERROR(IF(MOD(MONTH(Output!P$35)-MONTH(Calculations!$E6),12)&lt;=Calculations!$T6,Calculations!$Z6/(Calculations!$T6+1),0),0),Calculations!$Z6/12)</f>
        <v>1000</v>
      </c>
      <c r="Q63" s="46">
        <f>IF(Calculations!$S6&lt;&gt;0,IFERROR(IF(MOD(MONTH(Output!Q$35)-MONTH(Calculations!$B6),12)&lt;=Calculations!$T6,Calculations!$Z6/(Calculations!$T6+1),0),0)+IFERROR(IF(MOD(MONTH(Output!Q$35)-MONTH(Calculations!$E6),12)&lt;=Calculations!$T6,Calculations!$Z6/(Calculations!$T6+1),0),0),Calculations!$Z6/12)</f>
        <v>1000</v>
      </c>
      <c r="R63" s="46">
        <f>IF(Calculations!$S6&lt;&gt;0,IFERROR(IF(MOD(MONTH(Output!R$35)-MONTH(Calculations!$B6),12)&lt;=Calculations!$T6,Calculations!$Z6/(Calculations!$T6+1),0),0)+IFERROR(IF(MOD(MONTH(Output!R$35)-MONTH(Calculations!$E6),12)&lt;=Calculations!$T6,Calculations!$Z6/(Calculations!$T6+1),0),0),Calculations!$Z6/12)</f>
        <v>1000</v>
      </c>
      <c r="S63" s="46">
        <f>IF(Calculations!$S6&lt;&gt;0,IFERROR(IF(MOD(MONTH(Output!S$35)-MONTH(Calculations!$B6),12)&lt;=Calculations!$T6,Calculations!$Z6/(Calculations!$T6+1),0),0)+IFERROR(IF(MOD(MONTH(Output!S$35)-MONTH(Calculations!$E6),12)&lt;=Calculations!$T6,Calculations!$Z6/(Calculations!$T6+1),0),0),Calculations!$Z6/12)</f>
        <v>1000</v>
      </c>
      <c r="T63" s="46">
        <f>IF(Calculations!$S6&lt;&gt;0,IFERROR(IF(MOD(MONTH(Output!T$35)-MONTH(Calculations!$B6),12)&lt;=Calculations!$T6,Calculations!$Z6/(Calculations!$T6+1),0),0)+IFERROR(IF(MOD(MONTH(Output!T$35)-MONTH(Calculations!$E6),12)&lt;=Calculations!$T6,Calculations!$Z6/(Calculations!$T6+1),0),0),Calculations!$Z6/12)</f>
        <v>0</v>
      </c>
      <c r="U63" s="46">
        <f>IF(Calculations!$S6&lt;&gt;0,IFERROR(IF(MOD(MONTH(Output!U$35)-MONTH(Calculations!$B6),12)&lt;=Calculations!$T6,Calculations!$Z6/(Calculations!$T6+1),0),0)+IFERROR(IF(MOD(MONTH(Output!U$35)-MONTH(Calculations!$E6),12)&lt;=Calculations!$T6,Calculations!$Z6/(Calculations!$T6+1),0),0),Calculations!$Z6/12)</f>
        <v>1000</v>
      </c>
      <c r="V63" s="46">
        <f>IF(Calculations!$S6&lt;&gt;0,IFERROR(IF(MOD(MONTH(Output!V$35)-MONTH(Calculations!$B6),12)&lt;=Calculations!$T6,Calculations!$Z6/(Calculations!$T6+1),0),0)+IFERROR(IF(MOD(MONTH(Output!V$35)-MONTH(Calculations!$E6),12)&lt;=Calculations!$T6,Calculations!$Z6/(Calculations!$T6+1),0),0),Calculations!$Z6/12)</f>
        <v>1000</v>
      </c>
      <c r="W63" s="46">
        <f>IF(Calculations!$S6&lt;&gt;0,IFERROR(IF(MOD(MONTH(Output!W$35)-MONTH(Calculations!$B6),12)&lt;=Calculations!$T6,Calculations!$Z6/(Calculations!$T6+1),0),0)+IFERROR(IF(MOD(MONTH(Output!W$35)-MONTH(Calculations!$E6),12)&lt;=Calculations!$T6,Calculations!$Z6/(Calculations!$T6+1),0),0),Calculations!$Z6/12)</f>
        <v>1000</v>
      </c>
      <c r="X63" s="46">
        <f>IF(Calculations!$S6&lt;&gt;0,IFERROR(IF(MOD(MONTH(Output!X$35)-MONTH(Calculations!$B6),12)&lt;=Calculations!$T6,Calculations!$Z6/(Calculations!$T6+1),0),0)+IFERROR(IF(MOD(MONTH(Output!X$35)-MONTH(Calculations!$E6),12)&lt;=Calculations!$T6,Calculations!$Z6/(Calculations!$T6+1),0),0),Calculations!$Z6/12)</f>
        <v>1000</v>
      </c>
      <c r="Y63" s="46">
        <f>IF(Calculations!$S6&lt;&gt;0,IFERROR(IF(MOD(MONTH(Output!Y$35)-MONTH(Calculations!$B6),12)&lt;=Calculations!$T6,Calculations!$Z6/(Calculations!$T6+1),0),0)+IFERROR(IF(MOD(MONTH(Output!Y$35)-MONTH(Calculations!$E6),12)&lt;=Calculations!$T6,Calculations!$Z6/(Calculations!$T6+1),0),0),Calculations!$Z6/12)</f>
        <v>1000</v>
      </c>
      <c r="Z63" s="46">
        <f>SUMIF($B$13:$Y$13,"Yes",B63:Y63)</f>
        <v>10000</v>
      </c>
      <c r="AA63" s="46">
        <f>SUM(B63:M63)</f>
        <v>10000</v>
      </c>
      <c r="AB63" s="46">
        <f>SUM(B63:Y63)</f>
        <v>20000</v>
      </c>
    </row>
    <row r="64" spans="1:30" hidden="true" outlineLevel="1">
      <c r="A64" s="181">
        <f>Calculations!$A$7</f>
        <v/>
      </c>
      <c r="B64" s="36">
        <f>N64</f>
        <v>0</v>
      </c>
      <c r="C64" s="36">
        <f>O64</f>
        <v>0</v>
      </c>
      <c r="D64" s="36">
        <f>P64</f>
        <v>0</v>
      </c>
      <c r="E64" s="36">
        <f>Q64</f>
        <v>0</v>
      </c>
      <c r="F64" s="36">
        <f>R64</f>
        <v>0</v>
      </c>
      <c r="G64" s="36">
        <f>S64</f>
        <v>0</v>
      </c>
      <c r="H64" s="36">
        <f>T64</f>
        <v>0</v>
      </c>
      <c r="I64" s="36">
        <f>U64</f>
        <v>0</v>
      </c>
      <c r="J64" s="36">
        <f>V64</f>
        <v>0</v>
      </c>
      <c r="K64" s="36">
        <f>W64</f>
        <v>0</v>
      </c>
      <c r="L64" s="36">
        <f>X64</f>
        <v>0</v>
      </c>
      <c r="M64" s="36">
        <f>Y64</f>
        <v>0</v>
      </c>
      <c r="N64" s="46">
        <f>IF(Calculations!$S7&lt;&gt;0,IFERROR(IF(MOD(MONTH(Output!N$35)-MONTH(Calculations!$B7),12)&lt;=Calculations!$T7,Calculations!$Z7/(Calculations!$T7+1),0),0)+IFERROR(IF(MOD(MONTH(Output!N$35)-MONTH(Calculations!$E7),12)&lt;=Calculations!$T7,Calculations!$Z7/(Calculations!$T7+1),0),0),Calculations!$Z7/12)</f>
        <v>0</v>
      </c>
      <c r="O64" s="46">
        <f>IF(Calculations!$S7&lt;&gt;0,IFERROR(IF(MOD(MONTH(Output!O$35)-MONTH(Calculations!$B7),12)&lt;=Calculations!$T7,Calculations!$Z7/(Calculations!$T7+1),0),0)+IFERROR(IF(MOD(MONTH(Output!O$35)-MONTH(Calculations!$E7),12)&lt;=Calculations!$T7,Calculations!$Z7/(Calculations!$T7+1),0),0),Calculations!$Z7/12)</f>
        <v>0</v>
      </c>
      <c r="P64" s="46">
        <f>IF(Calculations!$S7&lt;&gt;0,IFERROR(IF(MOD(MONTH(Output!P$35)-MONTH(Calculations!$B7),12)&lt;=Calculations!$T7,Calculations!$Z7/(Calculations!$T7+1),0),0)+IFERROR(IF(MOD(MONTH(Output!P$35)-MONTH(Calculations!$E7),12)&lt;=Calculations!$T7,Calculations!$Z7/(Calculations!$T7+1),0),0),Calculations!$Z7/12)</f>
        <v>0</v>
      </c>
      <c r="Q64" s="46">
        <f>IF(Calculations!$S7&lt;&gt;0,IFERROR(IF(MOD(MONTH(Output!Q$35)-MONTH(Calculations!$B7),12)&lt;=Calculations!$T7,Calculations!$Z7/(Calculations!$T7+1),0),0)+IFERROR(IF(MOD(MONTH(Output!Q$35)-MONTH(Calculations!$E7),12)&lt;=Calculations!$T7,Calculations!$Z7/(Calculations!$T7+1),0),0),Calculations!$Z7/12)</f>
        <v>0</v>
      </c>
      <c r="R64" s="46">
        <f>IF(Calculations!$S7&lt;&gt;0,IFERROR(IF(MOD(MONTH(Output!R$35)-MONTH(Calculations!$B7),12)&lt;=Calculations!$T7,Calculations!$Z7/(Calculations!$T7+1),0),0)+IFERROR(IF(MOD(MONTH(Output!R$35)-MONTH(Calculations!$E7),12)&lt;=Calculations!$T7,Calculations!$Z7/(Calculations!$T7+1),0),0),Calculations!$Z7/12)</f>
        <v>0</v>
      </c>
      <c r="S64" s="46">
        <f>IF(Calculations!$S7&lt;&gt;0,IFERROR(IF(MOD(MONTH(Output!S$35)-MONTH(Calculations!$B7),12)&lt;=Calculations!$T7,Calculations!$Z7/(Calculations!$T7+1),0),0)+IFERROR(IF(MOD(MONTH(Output!S$35)-MONTH(Calculations!$E7),12)&lt;=Calculations!$T7,Calculations!$Z7/(Calculations!$T7+1),0),0),Calculations!$Z7/12)</f>
        <v>0</v>
      </c>
      <c r="T64" s="46">
        <f>IF(Calculations!$S7&lt;&gt;0,IFERROR(IF(MOD(MONTH(Output!T$35)-MONTH(Calculations!$B7),12)&lt;=Calculations!$T7,Calculations!$Z7/(Calculations!$T7+1),0),0)+IFERROR(IF(MOD(MONTH(Output!T$35)-MONTH(Calculations!$E7),12)&lt;=Calculations!$T7,Calculations!$Z7/(Calculations!$T7+1),0),0),Calculations!$Z7/12)</f>
        <v>0</v>
      </c>
      <c r="U64" s="46">
        <f>IF(Calculations!$S7&lt;&gt;0,IFERROR(IF(MOD(MONTH(Output!U$35)-MONTH(Calculations!$B7),12)&lt;=Calculations!$T7,Calculations!$Z7/(Calculations!$T7+1),0),0)+IFERROR(IF(MOD(MONTH(Output!U$35)-MONTH(Calculations!$E7),12)&lt;=Calculations!$T7,Calculations!$Z7/(Calculations!$T7+1),0),0),Calculations!$Z7/12)</f>
        <v>0</v>
      </c>
      <c r="V64" s="46">
        <f>IF(Calculations!$S7&lt;&gt;0,IFERROR(IF(MOD(MONTH(Output!V$35)-MONTH(Calculations!$B7),12)&lt;=Calculations!$T7,Calculations!$Z7/(Calculations!$T7+1),0),0)+IFERROR(IF(MOD(MONTH(Output!V$35)-MONTH(Calculations!$E7),12)&lt;=Calculations!$T7,Calculations!$Z7/(Calculations!$T7+1),0),0),Calculations!$Z7/12)</f>
        <v>0</v>
      </c>
      <c r="W64" s="46">
        <f>IF(Calculations!$S7&lt;&gt;0,IFERROR(IF(MOD(MONTH(Output!W$35)-MONTH(Calculations!$B7),12)&lt;=Calculations!$T7,Calculations!$Z7/(Calculations!$T7+1),0),0)+IFERROR(IF(MOD(MONTH(Output!W$35)-MONTH(Calculations!$E7),12)&lt;=Calculations!$T7,Calculations!$Z7/(Calculations!$T7+1),0),0),Calculations!$Z7/12)</f>
        <v>0</v>
      </c>
      <c r="X64" s="46">
        <f>IF(Calculations!$S7&lt;&gt;0,IFERROR(IF(MOD(MONTH(Output!X$35)-MONTH(Calculations!$B7),12)&lt;=Calculations!$T7,Calculations!$Z7/(Calculations!$T7+1),0),0)+IFERROR(IF(MOD(MONTH(Output!X$35)-MONTH(Calculations!$E7),12)&lt;=Calculations!$T7,Calculations!$Z7/(Calculations!$T7+1),0),0),Calculations!$Z7/12)</f>
        <v>0</v>
      </c>
      <c r="Y64" s="46">
        <f>IF(Calculations!$S7&lt;&gt;0,IFERROR(IF(MOD(MONTH(Output!Y$35)-MONTH(Calculations!$B7),12)&lt;=Calculations!$T7,Calculations!$Z7/(Calculations!$T7+1),0),0)+IFERROR(IF(MOD(MONTH(Output!Y$35)-MONTH(Calculations!$E7),12)&lt;=Calculations!$T7,Calculations!$Z7/(Calculations!$T7+1),0),0),Calculations!$Z7/12)</f>
        <v>0</v>
      </c>
      <c r="Z64" s="46">
        <f>SUMIF($B$13:$Y$13,"Yes",B64:Y64)</f>
        <v>0</v>
      </c>
      <c r="AA64" s="46">
        <f>SUM(B64:M64)</f>
        <v>0</v>
      </c>
      <c r="AB64" s="46">
        <f>SUM(B64:Y64)</f>
        <v>0</v>
      </c>
    </row>
    <row r="65" spans="1:30" hidden="true" outlineLevel="1">
      <c r="A65" s="181">
        <f>Calculations!$A$8</f>
        <v/>
      </c>
      <c r="B65" s="36">
        <f>N65</f>
        <v>0</v>
      </c>
      <c r="C65" s="36">
        <f>O65</f>
        <v>0</v>
      </c>
      <c r="D65" s="36">
        <f>P65</f>
        <v>0</v>
      </c>
      <c r="E65" s="36">
        <f>Q65</f>
        <v>0</v>
      </c>
      <c r="F65" s="36">
        <f>R65</f>
        <v>0</v>
      </c>
      <c r="G65" s="36">
        <f>S65</f>
        <v>0</v>
      </c>
      <c r="H65" s="36">
        <f>T65</f>
        <v>0</v>
      </c>
      <c r="I65" s="36">
        <f>U65</f>
        <v>0</v>
      </c>
      <c r="J65" s="36">
        <f>V65</f>
        <v>0</v>
      </c>
      <c r="K65" s="36">
        <f>W65</f>
        <v>0</v>
      </c>
      <c r="L65" s="36">
        <f>X65</f>
        <v>0</v>
      </c>
      <c r="M65" s="36">
        <f>Y65</f>
        <v>0</v>
      </c>
      <c r="N65" s="46">
        <f>IF(Calculations!$S8&lt;&gt;0,IFERROR(IF(MOD(MONTH(Output!N$35)-MONTH(Calculations!$B8),12)&lt;=Calculations!$T8,Calculations!$Z8/(Calculations!$T8+1),0),0)+IFERROR(IF(MOD(MONTH(Output!N$35)-MONTH(Calculations!$E8),12)&lt;=Calculations!$T8,Calculations!$Z8/(Calculations!$T8+1),0),0),Calculations!$Z8/12)</f>
        <v>0</v>
      </c>
      <c r="O65" s="46">
        <f>IF(Calculations!$S8&lt;&gt;0,IFERROR(IF(MOD(MONTH(Output!O$35)-MONTH(Calculations!$B8),12)&lt;=Calculations!$T8,Calculations!$Z8/(Calculations!$T8+1),0),0)+IFERROR(IF(MOD(MONTH(Output!O$35)-MONTH(Calculations!$E8),12)&lt;=Calculations!$T8,Calculations!$Z8/(Calculations!$T8+1),0),0),Calculations!$Z8/12)</f>
        <v>0</v>
      </c>
      <c r="P65" s="46">
        <f>IF(Calculations!$S8&lt;&gt;0,IFERROR(IF(MOD(MONTH(Output!P$35)-MONTH(Calculations!$B8),12)&lt;=Calculations!$T8,Calculations!$Z8/(Calculations!$T8+1),0),0)+IFERROR(IF(MOD(MONTH(Output!P$35)-MONTH(Calculations!$E8),12)&lt;=Calculations!$T8,Calculations!$Z8/(Calculations!$T8+1),0),0),Calculations!$Z8/12)</f>
        <v>0</v>
      </c>
      <c r="Q65" s="46">
        <f>IF(Calculations!$S8&lt;&gt;0,IFERROR(IF(MOD(MONTH(Output!Q$35)-MONTH(Calculations!$B8),12)&lt;=Calculations!$T8,Calculations!$Z8/(Calculations!$T8+1),0),0)+IFERROR(IF(MOD(MONTH(Output!Q$35)-MONTH(Calculations!$E8),12)&lt;=Calculations!$T8,Calculations!$Z8/(Calculations!$T8+1),0),0),Calculations!$Z8/12)</f>
        <v>0</v>
      </c>
      <c r="R65" s="46">
        <f>IF(Calculations!$S8&lt;&gt;0,IFERROR(IF(MOD(MONTH(Output!R$35)-MONTH(Calculations!$B8),12)&lt;=Calculations!$T8,Calculations!$Z8/(Calculations!$T8+1),0),0)+IFERROR(IF(MOD(MONTH(Output!R$35)-MONTH(Calculations!$E8),12)&lt;=Calculations!$T8,Calculations!$Z8/(Calculations!$T8+1),0),0),Calculations!$Z8/12)</f>
        <v>0</v>
      </c>
      <c r="S65" s="46">
        <f>IF(Calculations!$S8&lt;&gt;0,IFERROR(IF(MOD(MONTH(Output!S$35)-MONTH(Calculations!$B8),12)&lt;=Calculations!$T8,Calculations!$Z8/(Calculations!$T8+1),0),0)+IFERROR(IF(MOD(MONTH(Output!S$35)-MONTH(Calculations!$E8),12)&lt;=Calculations!$T8,Calculations!$Z8/(Calculations!$T8+1),0),0),Calculations!$Z8/12)</f>
        <v>0</v>
      </c>
      <c r="T65" s="46">
        <f>IF(Calculations!$S8&lt;&gt;0,IFERROR(IF(MOD(MONTH(Output!T$35)-MONTH(Calculations!$B8),12)&lt;=Calculations!$T8,Calculations!$Z8/(Calculations!$T8+1),0),0)+IFERROR(IF(MOD(MONTH(Output!T$35)-MONTH(Calculations!$E8),12)&lt;=Calculations!$T8,Calculations!$Z8/(Calculations!$T8+1),0),0),Calculations!$Z8/12)</f>
        <v>0</v>
      </c>
      <c r="U65" s="46">
        <f>IF(Calculations!$S8&lt;&gt;0,IFERROR(IF(MOD(MONTH(Output!U$35)-MONTH(Calculations!$B8),12)&lt;=Calculations!$T8,Calculations!$Z8/(Calculations!$T8+1),0),0)+IFERROR(IF(MOD(MONTH(Output!U$35)-MONTH(Calculations!$E8),12)&lt;=Calculations!$T8,Calculations!$Z8/(Calculations!$T8+1),0),0),Calculations!$Z8/12)</f>
        <v>0</v>
      </c>
      <c r="V65" s="46">
        <f>IF(Calculations!$S8&lt;&gt;0,IFERROR(IF(MOD(MONTH(Output!V$35)-MONTH(Calculations!$B8),12)&lt;=Calculations!$T8,Calculations!$Z8/(Calculations!$T8+1),0),0)+IFERROR(IF(MOD(MONTH(Output!V$35)-MONTH(Calculations!$E8),12)&lt;=Calculations!$T8,Calculations!$Z8/(Calculations!$T8+1),0),0),Calculations!$Z8/12)</f>
        <v>0</v>
      </c>
      <c r="W65" s="46">
        <f>IF(Calculations!$S8&lt;&gt;0,IFERROR(IF(MOD(MONTH(Output!W$35)-MONTH(Calculations!$B8),12)&lt;=Calculations!$T8,Calculations!$Z8/(Calculations!$T8+1),0),0)+IFERROR(IF(MOD(MONTH(Output!W$35)-MONTH(Calculations!$E8),12)&lt;=Calculations!$T8,Calculations!$Z8/(Calculations!$T8+1),0),0),Calculations!$Z8/12)</f>
        <v>0</v>
      </c>
      <c r="X65" s="46">
        <f>IF(Calculations!$S8&lt;&gt;0,IFERROR(IF(MOD(MONTH(Output!X$35)-MONTH(Calculations!$B8),12)&lt;=Calculations!$T8,Calculations!$Z8/(Calculations!$T8+1),0),0)+IFERROR(IF(MOD(MONTH(Output!X$35)-MONTH(Calculations!$E8),12)&lt;=Calculations!$T8,Calculations!$Z8/(Calculations!$T8+1),0),0),Calculations!$Z8/12)</f>
        <v>0</v>
      </c>
      <c r="Y65" s="46">
        <f>IF(Calculations!$S8&lt;&gt;0,IFERROR(IF(MOD(MONTH(Output!Y$35)-MONTH(Calculations!$B8),12)&lt;=Calculations!$T8,Calculations!$Z8/(Calculations!$T8+1),0),0)+IFERROR(IF(MOD(MONTH(Output!Y$35)-MONTH(Calculations!$E8),12)&lt;=Calculations!$T8,Calculations!$Z8/(Calculations!$T8+1),0),0),Calculations!$Z8/12)</f>
        <v>0</v>
      </c>
      <c r="Z65" s="46">
        <f>SUMIF($B$13:$Y$13,"Yes",B65:Y65)</f>
        <v>0</v>
      </c>
      <c r="AA65" s="46">
        <f>SUM(B65:M65)</f>
        <v>0</v>
      </c>
      <c r="AB65" s="46">
        <f>SUM(B65:Y65)</f>
        <v>0</v>
      </c>
    </row>
    <row r="66" spans="1:30" collapsed="true">
      <c r="A66" s="43" t="s">
        <v>44</v>
      </c>
      <c r="B66" s="36">
        <f>N66</f>
        <v>843.75</v>
      </c>
      <c r="C66" s="36">
        <f>O66</f>
        <v>2787.75</v>
      </c>
      <c r="D66" s="36">
        <f>P66</f>
        <v>2787.75</v>
      </c>
      <c r="E66" s="36">
        <f>Q66</f>
        <v>2787.75</v>
      </c>
      <c r="F66" s="36">
        <f>R66</f>
        <v>2787.75</v>
      </c>
      <c r="G66" s="36">
        <f>S66</f>
        <v>2787.75</v>
      </c>
      <c r="H66" s="36">
        <f>T66</f>
        <v>843.75</v>
      </c>
      <c r="I66" s="36">
        <f>U66</f>
        <v>2787.75</v>
      </c>
      <c r="J66" s="36">
        <f>V66</f>
        <v>2787.75</v>
      </c>
      <c r="K66" s="36">
        <f>W66</f>
        <v>2787.75</v>
      </c>
      <c r="L66" s="36">
        <f>X66</f>
        <v>2787.75</v>
      </c>
      <c r="M66" s="36">
        <f>Y66</f>
        <v>2787.75</v>
      </c>
      <c r="N66" s="46">
        <f>SUM(N67:N71)</f>
        <v>843.75</v>
      </c>
      <c r="O66" s="46">
        <f>SUM(O67:O71)</f>
        <v>2787.75</v>
      </c>
      <c r="P66" s="46">
        <f>SUM(P67:P71)</f>
        <v>2787.75</v>
      </c>
      <c r="Q66" s="46">
        <f>SUM(Q67:Q71)</f>
        <v>2787.75</v>
      </c>
      <c r="R66" s="46">
        <f>SUM(R67:R71)</f>
        <v>2787.75</v>
      </c>
      <c r="S66" s="46">
        <f>SUM(S67:S71)</f>
        <v>2787.75</v>
      </c>
      <c r="T66" s="46">
        <f>SUM(T67:T71)</f>
        <v>843.75</v>
      </c>
      <c r="U66" s="46">
        <f>SUM(U67:U71)</f>
        <v>2787.75</v>
      </c>
      <c r="V66" s="46">
        <f>SUM(V67:V71)</f>
        <v>2787.75</v>
      </c>
      <c r="W66" s="46">
        <f>SUM(W67:W71)</f>
        <v>2787.75</v>
      </c>
      <c r="X66" s="46">
        <f>SUM(X67:X71)</f>
        <v>2787.75</v>
      </c>
      <c r="Y66" s="46">
        <f>SUM(Y67:Y71)</f>
        <v>2787.75</v>
      </c>
      <c r="Z66" s="46">
        <f>SUMIF($B$13:$Y$13,"Yes",B66:Y66)</f>
        <v>30408.75</v>
      </c>
      <c r="AA66" s="46">
        <f>SUM(B66:M66)</f>
        <v>29565</v>
      </c>
      <c r="AB66" s="46">
        <f>SUM(B66:Y66)</f>
        <v>59130</v>
      </c>
    </row>
    <row r="67" spans="1:30" hidden="true" outlineLevel="1">
      <c r="A67" s="181" t="str">
        <f>Calculations!$A$4</f>
        <v>Bananas</v>
      </c>
      <c r="B67" s="36">
        <f>N67</f>
        <v>843.75</v>
      </c>
      <c r="C67" s="36">
        <f>O67</f>
        <v>843.75</v>
      </c>
      <c r="D67" s="36">
        <f>P67</f>
        <v>843.75</v>
      </c>
      <c r="E67" s="36">
        <f>Q67</f>
        <v>843.75</v>
      </c>
      <c r="F67" s="36">
        <f>R67</f>
        <v>843.75</v>
      </c>
      <c r="G67" s="36">
        <f>S67</f>
        <v>843.75</v>
      </c>
      <c r="H67" s="36">
        <f>T67</f>
        <v>843.75</v>
      </c>
      <c r="I67" s="36">
        <f>U67</f>
        <v>843.75</v>
      </c>
      <c r="J67" s="36">
        <f>V67</f>
        <v>843.75</v>
      </c>
      <c r="K67" s="36">
        <f>W67</f>
        <v>843.75</v>
      </c>
      <c r="L67" s="36">
        <f>X67</f>
        <v>843.75</v>
      </c>
      <c r="M67" s="36">
        <f>Y67</f>
        <v>843.75</v>
      </c>
      <c r="N67" s="46">
        <f>IF(Calculations!$S4&lt;&gt;0,IFERROR(IF(MOD(MONTH(Output!N$35)-MONTH(Calculations!$B4),12)&lt;=Calculations!$T4,Calculations!$AB4/(Calculations!$T4+1),0),0)+IFERROR(IF(MOD(MONTH(Output!N$35)-MONTH(Calculations!$E4),12)&lt;=Calculations!$T4,Calculations!$AB4/(Calculations!$T4+1),0),0),Calculations!$AB4/12)*(1-Inputs!$B$25/100)</f>
        <v>843.75</v>
      </c>
      <c r="O67" s="46">
        <f>IF(Calculations!$S4&lt;&gt;0,IFERROR(IF(MOD(MONTH(Output!O$35)-MONTH(Calculations!$B4),12)&lt;=Calculations!$T4,Calculations!$AB4/(Calculations!$T4+1),0),0)+IFERROR(IF(MOD(MONTH(Output!O$35)-MONTH(Calculations!$E4),12)&lt;=Calculations!$T4,Calculations!$AB4/(Calculations!$T4+1),0),0),Calculations!$AB4/12)*(1-Inputs!$B$25/100)</f>
        <v>843.75</v>
      </c>
      <c r="P67" s="46">
        <f>IF(Calculations!$S4&lt;&gt;0,IFERROR(IF(MOD(MONTH(Output!P$35)-MONTH(Calculations!$B4),12)&lt;=Calculations!$T4,Calculations!$AB4/(Calculations!$T4+1),0),0)+IFERROR(IF(MOD(MONTH(Output!P$35)-MONTH(Calculations!$E4),12)&lt;=Calculations!$T4,Calculations!$AB4/(Calculations!$T4+1),0),0),Calculations!$AB4/12)*(1-Inputs!$B$25/100)</f>
        <v>843.75</v>
      </c>
      <c r="Q67" s="46">
        <f>IF(Calculations!$S4&lt;&gt;0,IFERROR(IF(MOD(MONTH(Output!Q$35)-MONTH(Calculations!$B4),12)&lt;=Calculations!$T4,Calculations!$AB4/(Calculations!$T4+1),0),0)+IFERROR(IF(MOD(MONTH(Output!Q$35)-MONTH(Calculations!$E4),12)&lt;=Calculations!$T4,Calculations!$AB4/(Calculations!$T4+1),0),0),Calculations!$AB4/12)*(1-Inputs!$B$25/100)</f>
        <v>843.75</v>
      </c>
      <c r="R67" s="46">
        <f>IF(Calculations!$S4&lt;&gt;0,IFERROR(IF(MOD(MONTH(Output!R$35)-MONTH(Calculations!$B4),12)&lt;=Calculations!$T4,Calculations!$AB4/(Calculations!$T4+1),0),0)+IFERROR(IF(MOD(MONTH(Output!R$35)-MONTH(Calculations!$E4),12)&lt;=Calculations!$T4,Calculations!$AB4/(Calculations!$T4+1),0),0),Calculations!$AB4/12)*(1-Inputs!$B$25/100)</f>
        <v>843.75</v>
      </c>
      <c r="S67" s="46">
        <f>IF(Calculations!$S4&lt;&gt;0,IFERROR(IF(MOD(MONTH(Output!S$35)-MONTH(Calculations!$B4),12)&lt;=Calculations!$T4,Calculations!$AB4/(Calculations!$T4+1),0),0)+IFERROR(IF(MOD(MONTH(Output!S$35)-MONTH(Calculations!$E4),12)&lt;=Calculations!$T4,Calculations!$AB4/(Calculations!$T4+1),0),0),Calculations!$AB4/12)*(1-Inputs!$B$25/100)</f>
        <v>843.75</v>
      </c>
      <c r="T67" s="46">
        <f>IF(Calculations!$S4&lt;&gt;0,IFERROR(IF(MOD(MONTH(Output!T$35)-MONTH(Calculations!$B4),12)&lt;=Calculations!$T4,Calculations!$AB4/(Calculations!$T4+1),0),0)+IFERROR(IF(MOD(MONTH(Output!T$35)-MONTH(Calculations!$E4),12)&lt;=Calculations!$T4,Calculations!$AB4/(Calculations!$T4+1),0),0),Calculations!$AB4/12)*(1-Inputs!$B$25/100)</f>
        <v>843.75</v>
      </c>
      <c r="U67" s="46">
        <f>IF(Calculations!$S4&lt;&gt;0,IFERROR(IF(MOD(MONTH(Output!U$35)-MONTH(Calculations!$B4),12)&lt;=Calculations!$T4,Calculations!$AB4/(Calculations!$T4+1),0),0)+IFERROR(IF(MOD(MONTH(Output!U$35)-MONTH(Calculations!$E4),12)&lt;=Calculations!$T4,Calculations!$AB4/(Calculations!$T4+1),0),0),Calculations!$AB4/12)*(1-Inputs!$B$25/100)</f>
        <v>843.75</v>
      </c>
      <c r="V67" s="46">
        <f>IF(Calculations!$S4&lt;&gt;0,IFERROR(IF(MOD(MONTH(Output!V$35)-MONTH(Calculations!$B4),12)&lt;=Calculations!$T4,Calculations!$AB4/(Calculations!$T4+1),0),0)+IFERROR(IF(MOD(MONTH(Output!V$35)-MONTH(Calculations!$E4),12)&lt;=Calculations!$T4,Calculations!$AB4/(Calculations!$T4+1),0),0),Calculations!$AB4/12)*(1-Inputs!$B$25/100)</f>
        <v>843.75</v>
      </c>
      <c r="W67" s="46">
        <f>IF(Calculations!$S4&lt;&gt;0,IFERROR(IF(MOD(MONTH(Output!W$35)-MONTH(Calculations!$B4),12)&lt;=Calculations!$T4,Calculations!$AB4/(Calculations!$T4+1),0),0)+IFERROR(IF(MOD(MONTH(Output!W$35)-MONTH(Calculations!$E4),12)&lt;=Calculations!$T4,Calculations!$AB4/(Calculations!$T4+1),0),0),Calculations!$AB4/12)*(1-Inputs!$B$25/100)</f>
        <v>843.75</v>
      </c>
      <c r="X67" s="46">
        <f>IF(Calculations!$S4&lt;&gt;0,IFERROR(IF(MOD(MONTH(Output!X$35)-MONTH(Calculations!$B4),12)&lt;=Calculations!$T4,Calculations!$AB4/(Calculations!$T4+1),0),0)+IFERROR(IF(MOD(MONTH(Output!X$35)-MONTH(Calculations!$E4),12)&lt;=Calculations!$T4,Calculations!$AB4/(Calculations!$T4+1),0),0),Calculations!$AB4/12)*(1-Inputs!$B$25/100)</f>
        <v>843.75</v>
      </c>
      <c r="Y67" s="46">
        <f>IF(Calculations!$S4&lt;&gt;0,IFERROR(IF(MOD(MONTH(Output!Y$35)-MONTH(Calculations!$B4),12)&lt;=Calculations!$T4,Calculations!$AB4/(Calculations!$T4+1),0),0)+IFERROR(IF(MOD(MONTH(Output!Y$35)-MONTH(Calculations!$E4),12)&lt;=Calculations!$T4,Calculations!$AB4/(Calculations!$T4+1),0),0),Calculations!$AB4/12)*(1-Inputs!$B$25/100)</f>
        <v>843.75</v>
      </c>
      <c r="Z67" s="46">
        <f>SUMIF($B$13:$Y$13,"Yes",B67:Y67)</f>
        <v>10968.75</v>
      </c>
      <c r="AA67" s="46">
        <f>SUM(B67:M67)</f>
        <v>10125</v>
      </c>
      <c r="AB67" s="46">
        <f>SUM(B67:Y67)</f>
        <v>20250</v>
      </c>
    </row>
    <row r="68" spans="1:30" hidden="true" outlineLevel="1">
      <c r="A68" s="181" t="str">
        <f>Calculations!$A$5</f>
        <v>Other crops</v>
      </c>
      <c r="B68" s="36">
        <f>N68</f>
        <v>0</v>
      </c>
      <c r="C68" s="36">
        <f>O68</f>
        <v>0</v>
      </c>
      <c r="D68" s="36">
        <f>P68</f>
        <v>0</v>
      </c>
      <c r="E68" s="36">
        <f>Q68</f>
        <v>0</v>
      </c>
      <c r="F68" s="36">
        <f>R68</f>
        <v>0</v>
      </c>
      <c r="G68" s="36">
        <f>S68</f>
        <v>0</v>
      </c>
      <c r="H68" s="36">
        <f>T68</f>
        <v>0</v>
      </c>
      <c r="I68" s="36">
        <f>U68</f>
        <v>0</v>
      </c>
      <c r="J68" s="36">
        <f>V68</f>
        <v>0</v>
      </c>
      <c r="K68" s="36">
        <f>W68</f>
        <v>0</v>
      </c>
      <c r="L68" s="36">
        <f>X68</f>
        <v>0</v>
      </c>
      <c r="M68" s="36">
        <f>Y68</f>
        <v>0</v>
      </c>
      <c r="N68" s="46">
        <f>IF(Calculations!$S5&lt;&gt;0,IFERROR(IF(MOD(MONTH(Output!N$35)-MONTH(Calculations!$B5),12)&lt;=Calculations!$T5,Calculations!$AB5/(Calculations!$T5+1),0),0)+IFERROR(IF(MOD(MONTH(Output!N$35)-MONTH(Calculations!$E5),12)&lt;=Calculations!$T5,Calculations!$AB5/(Calculations!$T5+1),0),0),Calculations!$AB5/12)*(1-Inputs!$B$25/100)</f>
        <v>0</v>
      </c>
      <c r="O68" s="46">
        <f>IF(Calculations!$S5&lt;&gt;0,IFERROR(IF(MOD(MONTH(Output!O$35)-MONTH(Calculations!$B5),12)&lt;=Calculations!$T5,Calculations!$AB5/(Calculations!$T5+1),0),0)+IFERROR(IF(MOD(MONTH(Output!O$35)-MONTH(Calculations!$E5),12)&lt;=Calculations!$T5,Calculations!$AB5/(Calculations!$T5+1),0),0),Calculations!$AB5/12)*(1-Inputs!$B$25/100)</f>
        <v>0</v>
      </c>
      <c r="P68" s="46">
        <f>IF(Calculations!$S5&lt;&gt;0,IFERROR(IF(MOD(MONTH(Output!P$35)-MONTH(Calculations!$B5),12)&lt;=Calculations!$T5,Calculations!$AB5/(Calculations!$T5+1),0),0)+IFERROR(IF(MOD(MONTH(Output!P$35)-MONTH(Calculations!$E5),12)&lt;=Calculations!$T5,Calculations!$AB5/(Calculations!$T5+1),0),0),Calculations!$AB5/12)*(1-Inputs!$B$25/100)</f>
        <v>0</v>
      </c>
      <c r="Q68" s="46">
        <f>IF(Calculations!$S5&lt;&gt;0,IFERROR(IF(MOD(MONTH(Output!Q$35)-MONTH(Calculations!$B5),12)&lt;=Calculations!$T5,Calculations!$AB5/(Calculations!$T5+1),0),0)+IFERROR(IF(MOD(MONTH(Output!Q$35)-MONTH(Calculations!$E5),12)&lt;=Calculations!$T5,Calculations!$AB5/(Calculations!$T5+1),0),0),Calculations!$AB5/12)*(1-Inputs!$B$25/100)</f>
        <v>0</v>
      </c>
      <c r="R68" s="46">
        <f>IF(Calculations!$S5&lt;&gt;0,IFERROR(IF(MOD(MONTH(Output!R$35)-MONTH(Calculations!$B5),12)&lt;=Calculations!$T5,Calculations!$AB5/(Calculations!$T5+1),0),0)+IFERROR(IF(MOD(MONTH(Output!R$35)-MONTH(Calculations!$E5),12)&lt;=Calculations!$T5,Calculations!$AB5/(Calculations!$T5+1),0),0),Calculations!$AB5/12)*(1-Inputs!$B$25/100)</f>
        <v>0</v>
      </c>
      <c r="S68" s="46">
        <f>IF(Calculations!$S5&lt;&gt;0,IFERROR(IF(MOD(MONTH(Output!S$35)-MONTH(Calculations!$B5),12)&lt;=Calculations!$T5,Calculations!$AB5/(Calculations!$T5+1),0),0)+IFERROR(IF(MOD(MONTH(Output!S$35)-MONTH(Calculations!$E5),12)&lt;=Calculations!$T5,Calculations!$AB5/(Calculations!$T5+1),0),0),Calculations!$AB5/12)*(1-Inputs!$B$25/100)</f>
        <v>0</v>
      </c>
      <c r="T68" s="46">
        <f>IF(Calculations!$S5&lt;&gt;0,IFERROR(IF(MOD(MONTH(Output!T$35)-MONTH(Calculations!$B5),12)&lt;=Calculations!$T5,Calculations!$AB5/(Calculations!$T5+1),0),0)+IFERROR(IF(MOD(MONTH(Output!T$35)-MONTH(Calculations!$E5),12)&lt;=Calculations!$T5,Calculations!$AB5/(Calculations!$T5+1),0),0),Calculations!$AB5/12)*(1-Inputs!$B$25/100)</f>
        <v>0</v>
      </c>
      <c r="U68" s="46">
        <f>IF(Calculations!$S5&lt;&gt;0,IFERROR(IF(MOD(MONTH(Output!U$35)-MONTH(Calculations!$B5),12)&lt;=Calculations!$T5,Calculations!$AB5/(Calculations!$T5+1),0),0)+IFERROR(IF(MOD(MONTH(Output!U$35)-MONTH(Calculations!$E5),12)&lt;=Calculations!$T5,Calculations!$AB5/(Calculations!$T5+1),0),0),Calculations!$AB5/12)*(1-Inputs!$B$25/100)</f>
        <v>0</v>
      </c>
      <c r="V68" s="46">
        <f>IF(Calculations!$S5&lt;&gt;0,IFERROR(IF(MOD(MONTH(Output!V$35)-MONTH(Calculations!$B5),12)&lt;=Calculations!$T5,Calculations!$AB5/(Calculations!$T5+1),0),0)+IFERROR(IF(MOD(MONTH(Output!V$35)-MONTH(Calculations!$E5),12)&lt;=Calculations!$T5,Calculations!$AB5/(Calculations!$T5+1),0),0),Calculations!$AB5/12)*(1-Inputs!$B$25/100)</f>
        <v>0</v>
      </c>
      <c r="W68" s="46">
        <f>IF(Calculations!$S5&lt;&gt;0,IFERROR(IF(MOD(MONTH(Output!W$35)-MONTH(Calculations!$B5),12)&lt;=Calculations!$T5,Calculations!$AB5/(Calculations!$T5+1),0),0)+IFERROR(IF(MOD(MONTH(Output!W$35)-MONTH(Calculations!$E5),12)&lt;=Calculations!$T5,Calculations!$AB5/(Calculations!$T5+1),0),0),Calculations!$AB5/12)*(1-Inputs!$B$25/100)</f>
        <v>0</v>
      </c>
      <c r="X68" s="46">
        <f>IF(Calculations!$S5&lt;&gt;0,IFERROR(IF(MOD(MONTH(Output!X$35)-MONTH(Calculations!$B5),12)&lt;=Calculations!$T5,Calculations!$AB5/(Calculations!$T5+1),0),0)+IFERROR(IF(MOD(MONTH(Output!X$35)-MONTH(Calculations!$E5),12)&lt;=Calculations!$T5,Calculations!$AB5/(Calculations!$T5+1),0),0),Calculations!$AB5/12)*(1-Inputs!$B$25/100)</f>
        <v>0</v>
      </c>
      <c r="Y68" s="46">
        <f>IF(Calculations!$S5&lt;&gt;0,IFERROR(IF(MOD(MONTH(Output!Y$35)-MONTH(Calculations!$B5),12)&lt;=Calculations!$T5,Calculations!$AB5/(Calculations!$T5+1),0),0)+IFERROR(IF(MOD(MONTH(Output!Y$35)-MONTH(Calculations!$E5),12)&lt;=Calculations!$T5,Calculations!$AB5/(Calculations!$T5+1),0),0),Calculations!$AB5/12)*(1-Inputs!$B$25/100)</f>
        <v>0</v>
      </c>
      <c r="Z68" s="46">
        <f>SUMIF($B$13:$Y$13,"Yes",B68:Y68)</f>
        <v>0</v>
      </c>
      <c r="AA68" s="46">
        <f>SUM(B68:M68)</f>
        <v>0</v>
      </c>
      <c r="AB68" s="46">
        <f>SUM(B68:Y68)</f>
        <v>0</v>
      </c>
    </row>
    <row r="69" spans="1:30" hidden="true" outlineLevel="1">
      <c r="A69" s="181" t="str">
        <f>Calculations!$A$6</f>
        <v>Maize</v>
      </c>
      <c r="B69" s="36">
        <f>N69</f>
        <v>0</v>
      </c>
      <c r="C69" s="36">
        <f>O69</f>
        <v>1944</v>
      </c>
      <c r="D69" s="36">
        <f>P69</f>
        <v>1944</v>
      </c>
      <c r="E69" s="36">
        <f>Q69</f>
        <v>1944</v>
      </c>
      <c r="F69" s="36">
        <f>R69</f>
        <v>1944</v>
      </c>
      <c r="G69" s="36">
        <f>S69</f>
        <v>1944</v>
      </c>
      <c r="H69" s="36">
        <f>T69</f>
        <v>0</v>
      </c>
      <c r="I69" s="36">
        <f>U69</f>
        <v>1944</v>
      </c>
      <c r="J69" s="36">
        <f>V69</f>
        <v>1944</v>
      </c>
      <c r="K69" s="36">
        <f>W69</f>
        <v>1944</v>
      </c>
      <c r="L69" s="36">
        <f>X69</f>
        <v>1944</v>
      </c>
      <c r="M69" s="36">
        <f>Y69</f>
        <v>1944</v>
      </c>
      <c r="N69" s="46">
        <f>IF(Calculations!$S6&lt;&gt;0,IFERROR(IF(MOD(MONTH(Output!N$35)-MONTH(Calculations!$B6),12)&lt;=Calculations!$T6,Calculations!$AB6/(Calculations!$T6+1),0),0)+IFERROR(IF(MOD(MONTH(Output!N$35)-MONTH(Calculations!$E6),12)&lt;=Calculations!$T6,Calculations!$AB6/(Calculations!$T6+1),0),0),Calculations!$AB6/12)*(1-Inputs!$B$25/100)</f>
        <v>0</v>
      </c>
      <c r="O69" s="46">
        <f>IF(Calculations!$S6&lt;&gt;0,IFERROR(IF(MOD(MONTH(Output!O$35)-MONTH(Calculations!$B6),12)&lt;=Calculations!$T6,Calculations!$AB6/(Calculations!$T6+1),0),0)+IFERROR(IF(MOD(MONTH(Output!O$35)-MONTH(Calculations!$E6),12)&lt;=Calculations!$T6,Calculations!$AB6/(Calculations!$T6+1),0),0),Calculations!$AB6/12)*(1-Inputs!$B$25/100)</f>
        <v>1944</v>
      </c>
      <c r="P69" s="46">
        <f>IF(Calculations!$S6&lt;&gt;0,IFERROR(IF(MOD(MONTH(Output!P$35)-MONTH(Calculations!$B6),12)&lt;=Calculations!$T6,Calculations!$AB6/(Calculations!$T6+1),0),0)+IFERROR(IF(MOD(MONTH(Output!P$35)-MONTH(Calculations!$E6),12)&lt;=Calculations!$T6,Calculations!$AB6/(Calculations!$T6+1),0),0),Calculations!$AB6/12)*(1-Inputs!$B$25/100)</f>
        <v>1944</v>
      </c>
      <c r="Q69" s="46">
        <f>IF(Calculations!$S6&lt;&gt;0,IFERROR(IF(MOD(MONTH(Output!Q$35)-MONTH(Calculations!$B6),12)&lt;=Calculations!$T6,Calculations!$AB6/(Calculations!$T6+1),0),0)+IFERROR(IF(MOD(MONTH(Output!Q$35)-MONTH(Calculations!$E6),12)&lt;=Calculations!$T6,Calculations!$AB6/(Calculations!$T6+1),0),0),Calculations!$AB6/12)*(1-Inputs!$B$25/100)</f>
        <v>1944</v>
      </c>
      <c r="R69" s="46">
        <f>IF(Calculations!$S6&lt;&gt;0,IFERROR(IF(MOD(MONTH(Output!R$35)-MONTH(Calculations!$B6),12)&lt;=Calculations!$T6,Calculations!$AB6/(Calculations!$T6+1),0),0)+IFERROR(IF(MOD(MONTH(Output!R$35)-MONTH(Calculations!$E6),12)&lt;=Calculations!$T6,Calculations!$AB6/(Calculations!$T6+1),0),0),Calculations!$AB6/12)*(1-Inputs!$B$25/100)</f>
        <v>1944</v>
      </c>
      <c r="S69" s="46">
        <f>IF(Calculations!$S6&lt;&gt;0,IFERROR(IF(MOD(MONTH(Output!S$35)-MONTH(Calculations!$B6),12)&lt;=Calculations!$T6,Calculations!$AB6/(Calculations!$T6+1),0),0)+IFERROR(IF(MOD(MONTH(Output!S$35)-MONTH(Calculations!$E6),12)&lt;=Calculations!$T6,Calculations!$AB6/(Calculations!$T6+1),0),0),Calculations!$AB6/12)*(1-Inputs!$B$25/100)</f>
        <v>1944</v>
      </c>
      <c r="T69" s="46">
        <f>IF(Calculations!$S6&lt;&gt;0,IFERROR(IF(MOD(MONTH(Output!T$35)-MONTH(Calculations!$B6),12)&lt;=Calculations!$T6,Calculations!$AB6/(Calculations!$T6+1),0),0)+IFERROR(IF(MOD(MONTH(Output!T$35)-MONTH(Calculations!$E6),12)&lt;=Calculations!$T6,Calculations!$AB6/(Calculations!$T6+1),0),0),Calculations!$AB6/12)*(1-Inputs!$B$25/100)</f>
        <v>0</v>
      </c>
      <c r="U69" s="46">
        <f>IF(Calculations!$S6&lt;&gt;0,IFERROR(IF(MOD(MONTH(Output!U$35)-MONTH(Calculations!$B6),12)&lt;=Calculations!$T6,Calculations!$AB6/(Calculations!$T6+1),0),0)+IFERROR(IF(MOD(MONTH(Output!U$35)-MONTH(Calculations!$E6),12)&lt;=Calculations!$T6,Calculations!$AB6/(Calculations!$T6+1),0),0),Calculations!$AB6/12)*(1-Inputs!$B$25/100)</f>
        <v>1944</v>
      </c>
      <c r="V69" s="46">
        <f>IF(Calculations!$S6&lt;&gt;0,IFERROR(IF(MOD(MONTH(Output!V$35)-MONTH(Calculations!$B6),12)&lt;=Calculations!$T6,Calculations!$AB6/(Calculations!$T6+1),0),0)+IFERROR(IF(MOD(MONTH(Output!V$35)-MONTH(Calculations!$E6),12)&lt;=Calculations!$T6,Calculations!$AB6/(Calculations!$T6+1),0),0),Calculations!$AB6/12)*(1-Inputs!$B$25/100)</f>
        <v>1944</v>
      </c>
      <c r="W69" s="46">
        <f>IF(Calculations!$S6&lt;&gt;0,IFERROR(IF(MOD(MONTH(Output!W$35)-MONTH(Calculations!$B6),12)&lt;=Calculations!$T6,Calculations!$AB6/(Calculations!$T6+1),0),0)+IFERROR(IF(MOD(MONTH(Output!W$35)-MONTH(Calculations!$E6),12)&lt;=Calculations!$T6,Calculations!$AB6/(Calculations!$T6+1),0),0),Calculations!$AB6/12)*(1-Inputs!$B$25/100)</f>
        <v>1944</v>
      </c>
      <c r="X69" s="46">
        <f>IF(Calculations!$S6&lt;&gt;0,IFERROR(IF(MOD(MONTH(Output!X$35)-MONTH(Calculations!$B6),12)&lt;=Calculations!$T6,Calculations!$AB6/(Calculations!$T6+1),0),0)+IFERROR(IF(MOD(MONTH(Output!X$35)-MONTH(Calculations!$E6),12)&lt;=Calculations!$T6,Calculations!$AB6/(Calculations!$T6+1),0),0),Calculations!$AB6/12)*(1-Inputs!$B$25/100)</f>
        <v>1944</v>
      </c>
      <c r="Y69" s="46">
        <f>IF(Calculations!$S6&lt;&gt;0,IFERROR(IF(MOD(MONTH(Output!Y$35)-MONTH(Calculations!$B6),12)&lt;=Calculations!$T6,Calculations!$AB6/(Calculations!$T6+1),0),0)+IFERROR(IF(MOD(MONTH(Output!Y$35)-MONTH(Calculations!$E6),12)&lt;=Calculations!$T6,Calculations!$AB6/(Calculations!$T6+1),0),0),Calculations!$AB6/12)*(1-Inputs!$B$25/100)</f>
        <v>1944</v>
      </c>
      <c r="Z69" s="46">
        <f>SUMIF($B$13:$Y$13,"Yes",B69:Y69)</f>
        <v>19440</v>
      </c>
      <c r="AA69" s="46">
        <f>SUM(B69:M69)</f>
        <v>19440</v>
      </c>
      <c r="AB69" s="46">
        <f>SUM(B69:Y69)</f>
        <v>38880</v>
      </c>
    </row>
    <row r="70" spans="1:30" hidden="true" outlineLevel="1">
      <c r="A70" s="181">
        <f>Calculations!$A$7</f>
        <v/>
      </c>
      <c r="B70" s="36">
        <f>N70</f>
        <v>0</v>
      </c>
      <c r="C70" s="36">
        <f>O70</f>
        <v>0</v>
      </c>
      <c r="D70" s="36">
        <f>P70</f>
        <v>0</v>
      </c>
      <c r="E70" s="36">
        <f>Q70</f>
        <v>0</v>
      </c>
      <c r="F70" s="36">
        <f>R70</f>
        <v>0</v>
      </c>
      <c r="G70" s="36">
        <f>S70</f>
        <v>0</v>
      </c>
      <c r="H70" s="36">
        <f>T70</f>
        <v>0</v>
      </c>
      <c r="I70" s="36">
        <f>U70</f>
        <v>0</v>
      </c>
      <c r="J70" s="36">
        <f>V70</f>
        <v>0</v>
      </c>
      <c r="K70" s="36">
        <f>W70</f>
        <v>0</v>
      </c>
      <c r="L70" s="36">
        <f>X70</f>
        <v>0</v>
      </c>
      <c r="M70" s="36">
        <f>Y70</f>
        <v>0</v>
      </c>
      <c r="N70" s="46">
        <f>IF(Calculations!$S7&lt;&gt;0,IFERROR(IF(MOD(MONTH(Output!N$35)-MONTH(Calculations!$B7),12)&lt;=Calculations!$T7,Calculations!$AB7/(Calculations!$T7+1),0),0)+IFERROR(IF(MOD(MONTH(Output!N$35)-MONTH(Calculations!$E7),12)&lt;=Calculations!$T7,Calculations!$AB7/(Calculations!$T7+1),0),0),Calculations!$AB7/12)*(1-Inputs!$B$25/100)</f>
        <v>0</v>
      </c>
      <c r="O70" s="46">
        <f>IF(Calculations!$S7&lt;&gt;0,IFERROR(IF(MOD(MONTH(Output!O$35)-MONTH(Calculations!$B7),12)&lt;=Calculations!$T7,Calculations!$AB7/(Calculations!$T7+1),0),0)+IFERROR(IF(MOD(MONTH(Output!O$35)-MONTH(Calculations!$E7),12)&lt;=Calculations!$T7,Calculations!$AB7/(Calculations!$T7+1),0),0),Calculations!$AB7/12)*(1-Inputs!$B$25/100)</f>
        <v>0</v>
      </c>
      <c r="P70" s="46">
        <f>IF(Calculations!$S7&lt;&gt;0,IFERROR(IF(MOD(MONTH(Output!P$35)-MONTH(Calculations!$B7),12)&lt;=Calculations!$T7,Calculations!$AB7/(Calculations!$T7+1),0),0)+IFERROR(IF(MOD(MONTH(Output!P$35)-MONTH(Calculations!$E7),12)&lt;=Calculations!$T7,Calculations!$AB7/(Calculations!$T7+1),0),0),Calculations!$AB7/12)*(1-Inputs!$B$25/100)</f>
        <v>0</v>
      </c>
      <c r="Q70" s="46">
        <f>IF(Calculations!$S7&lt;&gt;0,IFERROR(IF(MOD(MONTH(Output!Q$35)-MONTH(Calculations!$B7),12)&lt;=Calculations!$T7,Calculations!$AB7/(Calculations!$T7+1),0),0)+IFERROR(IF(MOD(MONTH(Output!Q$35)-MONTH(Calculations!$E7),12)&lt;=Calculations!$T7,Calculations!$AB7/(Calculations!$T7+1),0),0),Calculations!$AB7/12)*(1-Inputs!$B$25/100)</f>
        <v>0</v>
      </c>
      <c r="R70" s="46">
        <f>IF(Calculations!$S7&lt;&gt;0,IFERROR(IF(MOD(MONTH(Output!R$35)-MONTH(Calculations!$B7),12)&lt;=Calculations!$T7,Calculations!$AB7/(Calculations!$T7+1),0),0)+IFERROR(IF(MOD(MONTH(Output!R$35)-MONTH(Calculations!$E7),12)&lt;=Calculations!$T7,Calculations!$AB7/(Calculations!$T7+1),0),0),Calculations!$AB7/12)*(1-Inputs!$B$25/100)</f>
        <v>0</v>
      </c>
      <c r="S70" s="46">
        <f>IF(Calculations!$S7&lt;&gt;0,IFERROR(IF(MOD(MONTH(Output!S$35)-MONTH(Calculations!$B7),12)&lt;=Calculations!$T7,Calculations!$AB7/(Calculations!$T7+1),0),0)+IFERROR(IF(MOD(MONTH(Output!S$35)-MONTH(Calculations!$E7),12)&lt;=Calculations!$T7,Calculations!$AB7/(Calculations!$T7+1),0),0),Calculations!$AB7/12)*(1-Inputs!$B$25/100)</f>
        <v>0</v>
      </c>
      <c r="T70" s="46">
        <f>IF(Calculations!$S7&lt;&gt;0,IFERROR(IF(MOD(MONTH(Output!T$35)-MONTH(Calculations!$B7),12)&lt;=Calculations!$T7,Calculations!$AB7/(Calculations!$T7+1),0),0)+IFERROR(IF(MOD(MONTH(Output!T$35)-MONTH(Calculations!$E7),12)&lt;=Calculations!$T7,Calculations!$AB7/(Calculations!$T7+1),0),0),Calculations!$AB7/12)*(1-Inputs!$B$25/100)</f>
        <v>0</v>
      </c>
      <c r="U70" s="46">
        <f>IF(Calculations!$S7&lt;&gt;0,IFERROR(IF(MOD(MONTH(Output!U$35)-MONTH(Calculations!$B7),12)&lt;=Calculations!$T7,Calculations!$AB7/(Calculations!$T7+1),0),0)+IFERROR(IF(MOD(MONTH(Output!U$35)-MONTH(Calculations!$E7),12)&lt;=Calculations!$T7,Calculations!$AB7/(Calculations!$T7+1),0),0),Calculations!$AB7/12)*(1-Inputs!$B$25/100)</f>
        <v>0</v>
      </c>
      <c r="V70" s="46">
        <f>IF(Calculations!$S7&lt;&gt;0,IFERROR(IF(MOD(MONTH(Output!V$35)-MONTH(Calculations!$B7),12)&lt;=Calculations!$T7,Calculations!$AB7/(Calculations!$T7+1),0),0)+IFERROR(IF(MOD(MONTH(Output!V$35)-MONTH(Calculations!$E7),12)&lt;=Calculations!$T7,Calculations!$AB7/(Calculations!$T7+1),0),0),Calculations!$AB7/12)*(1-Inputs!$B$25/100)</f>
        <v>0</v>
      </c>
      <c r="W70" s="46">
        <f>IF(Calculations!$S7&lt;&gt;0,IFERROR(IF(MOD(MONTH(Output!W$35)-MONTH(Calculations!$B7),12)&lt;=Calculations!$T7,Calculations!$AB7/(Calculations!$T7+1),0),0)+IFERROR(IF(MOD(MONTH(Output!W$35)-MONTH(Calculations!$E7),12)&lt;=Calculations!$T7,Calculations!$AB7/(Calculations!$T7+1),0),0),Calculations!$AB7/12)*(1-Inputs!$B$25/100)</f>
        <v>0</v>
      </c>
      <c r="X70" s="46">
        <f>IF(Calculations!$S7&lt;&gt;0,IFERROR(IF(MOD(MONTH(Output!X$35)-MONTH(Calculations!$B7),12)&lt;=Calculations!$T7,Calculations!$AB7/(Calculations!$T7+1),0),0)+IFERROR(IF(MOD(MONTH(Output!X$35)-MONTH(Calculations!$E7),12)&lt;=Calculations!$T7,Calculations!$AB7/(Calculations!$T7+1),0),0),Calculations!$AB7/12)*(1-Inputs!$B$25/100)</f>
        <v>0</v>
      </c>
      <c r="Y70" s="46">
        <f>IF(Calculations!$S7&lt;&gt;0,IFERROR(IF(MOD(MONTH(Output!Y$35)-MONTH(Calculations!$B7),12)&lt;=Calculations!$T7,Calculations!$AB7/(Calculations!$T7+1),0),0)+IFERROR(IF(MOD(MONTH(Output!Y$35)-MONTH(Calculations!$E7),12)&lt;=Calculations!$T7,Calculations!$AB7/(Calculations!$T7+1),0),0),Calculations!$AB7/12)*(1-Inputs!$B$25/100)</f>
        <v>0</v>
      </c>
      <c r="Z70" s="46">
        <f>SUMIF($B$13:$Y$13,"Yes",B70:Y70)</f>
        <v>0</v>
      </c>
      <c r="AA70" s="46">
        <f>SUM(B70:M70)</f>
        <v>0</v>
      </c>
      <c r="AB70" s="46">
        <f>SUM(B70:Y70)</f>
        <v>0</v>
      </c>
    </row>
    <row r="71" spans="1:30" hidden="true" outlineLevel="1">
      <c r="A71" s="181">
        <f>Calculations!$A$8</f>
        <v/>
      </c>
      <c r="B71" s="36">
        <f>N71</f>
        <v>0</v>
      </c>
      <c r="C71" s="36">
        <f>O71</f>
        <v>0</v>
      </c>
      <c r="D71" s="36">
        <f>P71</f>
        <v>0</v>
      </c>
      <c r="E71" s="36">
        <f>Q71</f>
        <v>0</v>
      </c>
      <c r="F71" s="36">
        <f>R71</f>
        <v>0</v>
      </c>
      <c r="G71" s="36">
        <f>S71</f>
        <v>0</v>
      </c>
      <c r="H71" s="36">
        <f>T71</f>
        <v>0</v>
      </c>
      <c r="I71" s="36">
        <f>U71</f>
        <v>0</v>
      </c>
      <c r="J71" s="36">
        <f>V71</f>
        <v>0</v>
      </c>
      <c r="K71" s="36">
        <f>W71</f>
        <v>0</v>
      </c>
      <c r="L71" s="36">
        <f>X71</f>
        <v>0</v>
      </c>
      <c r="M71" s="36">
        <f>Y71</f>
        <v>0</v>
      </c>
      <c r="N71" s="46">
        <f>IF(Calculations!$S8&lt;&gt;0,IFERROR(IF(MOD(MONTH(Output!N$35)-MONTH(Calculations!$B8),12)&lt;=Calculations!$T8,Calculations!$AB8/(Calculations!$T8+1),0),0)+IFERROR(IF(MOD(MONTH(Output!N$35)-MONTH(Calculations!$E8),12)&lt;=Calculations!$T8,Calculations!$AB8/(Calculations!$T8+1),0),0),Calculations!$AB8/12)*(1-Inputs!$B$25/100)</f>
        <v>0</v>
      </c>
      <c r="O71" s="46">
        <f>IF(Calculations!$S8&lt;&gt;0,IFERROR(IF(MOD(MONTH(Output!O$35)-MONTH(Calculations!$B8),12)&lt;=Calculations!$T8,Calculations!$AB8/(Calculations!$T8+1),0),0)+IFERROR(IF(MOD(MONTH(Output!O$35)-MONTH(Calculations!$E8),12)&lt;=Calculations!$T8,Calculations!$AB8/(Calculations!$T8+1),0),0),Calculations!$AB8/12)*(1-Inputs!$B$25/100)</f>
        <v>0</v>
      </c>
      <c r="P71" s="46">
        <f>IF(Calculations!$S8&lt;&gt;0,IFERROR(IF(MOD(MONTH(Output!P$35)-MONTH(Calculations!$B8),12)&lt;=Calculations!$T8,Calculations!$AB8/(Calculations!$T8+1),0),0)+IFERROR(IF(MOD(MONTH(Output!P$35)-MONTH(Calculations!$E8),12)&lt;=Calculations!$T8,Calculations!$AB8/(Calculations!$T8+1),0),0),Calculations!$AB8/12)*(1-Inputs!$B$25/100)</f>
        <v>0</v>
      </c>
      <c r="Q71" s="46">
        <f>IF(Calculations!$S8&lt;&gt;0,IFERROR(IF(MOD(MONTH(Output!Q$35)-MONTH(Calculations!$B8),12)&lt;=Calculations!$T8,Calculations!$AB8/(Calculations!$T8+1),0),0)+IFERROR(IF(MOD(MONTH(Output!Q$35)-MONTH(Calculations!$E8),12)&lt;=Calculations!$T8,Calculations!$AB8/(Calculations!$T8+1),0),0),Calculations!$AB8/12)*(1-Inputs!$B$25/100)</f>
        <v>0</v>
      </c>
      <c r="R71" s="46">
        <f>IF(Calculations!$S8&lt;&gt;0,IFERROR(IF(MOD(MONTH(Output!R$35)-MONTH(Calculations!$B8),12)&lt;=Calculations!$T8,Calculations!$AB8/(Calculations!$T8+1),0),0)+IFERROR(IF(MOD(MONTH(Output!R$35)-MONTH(Calculations!$E8),12)&lt;=Calculations!$T8,Calculations!$AB8/(Calculations!$T8+1),0),0),Calculations!$AB8/12)*(1-Inputs!$B$25/100)</f>
        <v>0</v>
      </c>
      <c r="S71" s="46">
        <f>IF(Calculations!$S8&lt;&gt;0,IFERROR(IF(MOD(MONTH(Output!S$35)-MONTH(Calculations!$B8),12)&lt;=Calculations!$T8,Calculations!$AB8/(Calculations!$T8+1),0),0)+IFERROR(IF(MOD(MONTH(Output!S$35)-MONTH(Calculations!$E8),12)&lt;=Calculations!$T8,Calculations!$AB8/(Calculations!$T8+1),0),0),Calculations!$AB8/12)*(1-Inputs!$B$25/100)</f>
        <v>0</v>
      </c>
      <c r="T71" s="46">
        <f>IF(Calculations!$S8&lt;&gt;0,IFERROR(IF(MOD(MONTH(Output!T$35)-MONTH(Calculations!$B8),12)&lt;=Calculations!$T8,Calculations!$AB8/(Calculations!$T8+1),0),0)+IFERROR(IF(MOD(MONTH(Output!T$35)-MONTH(Calculations!$E8),12)&lt;=Calculations!$T8,Calculations!$AB8/(Calculations!$T8+1),0),0),Calculations!$AB8/12)*(1-Inputs!$B$25/100)</f>
        <v>0</v>
      </c>
      <c r="U71" s="46">
        <f>IF(Calculations!$S8&lt;&gt;0,IFERROR(IF(MOD(MONTH(Output!U$35)-MONTH(Calculations!$B8),12)&lt;=Calculations!$T8,Calculations!$AB8/(Calculations!$T8+1),0),0)+IFERROR(IF(MOD(MONTH(Output!U$35)-MONTH(Calculations!$E8),12)&lt;=Calculations!$T8,Calculations!$AB8/(Calculations!$T8+1),0),0),Calculations!$AB8/12)*(1-Inputs!$B$25/100)</f>
        <v>0</v>
      </c>
      <c r="V71" s="46">
        <f>IF(Calculations!$S8&lt;&gt;0,IFERROR(IF(MOD(MONTH(Output!V$35)-MONTH(Calculations!$B8),12)&lt;=Calculations!$T8,Calculations!$AB8/(Calculations!$T8+1),0),0)+IFERROR(IF(MOD(MONTH(Output!V$35)-MONTH(Calculations!$E8),12)&lt;=Calculations!$T8,Calculations!$AB8/(Calculations!$T8+1),0),0),Calculations!$AB8/12)*(1-Inputs!$B$25/100)</f>
        <v>0</v>
      </c>
      <c r="W71" s="46">
        <f>IF(Calculations!$S8&lt;&gt;0,IFERROR(IF(MOD(MONTH(Output!W$35)-MONTH(Calculations!$B8),12)&lt;=Calculations!$T8,Calculations!$AB8/(Calculations!$T8+1),0),0)+IFERROR(IF(MOD(MONTH(Output!W$35)-MONTH(Calculations!$E8),12)&lt;=Calculations!$T8,Calculations!$AB8/(Calculations!$T8+1),0),0),Calculations!$AB8/12)*(1-Inputs!$B$25/100)</f>
        <v>0</v>
      </c>
      <c r="X71" s="46">
        <f>IF(Calculations!$S8&lt;&gt;0,IFERROR(IF(MOD(MONTH(Output!X$35)-MONTH(Calculations!$B8),12)&lt;=Calculations!$T8,Calculations!$AB8/(Calculations!$T8+1),0),0)+IFERROR(IF(MOD(MONTH(Output!X$35)-MONTH(Calculations!$E8),12)&lt;=Calculations!$T8,Calculations!$AB8/(Calculations!$T8+1),0),0),Calculations!$AB8/12)*(1-Inputs!$B$25/100)</f>
        <v>0</v>
      </c>
      <c r="Y71" s="46">
        <f>IF(Calculations!$S8&lt;&gt;0,IFERROR(IF(MOD(MONTH(Output!Y$35)-MONTH(Calculations!$B8),12)&lt;=Calculations!$T8,Calculations!$AB8/(Calculations!$T8+1),0),0)+IFERROR(IF(MOD(MONTH(Output!Y$35)-MONTH(Calculations!$E8),12)&lt;=Calculations!$T8,Calculations!$AB8/(Calculations!$T8+1),0),0),Calculations!$AB8/12)*(1-Inputs!$B$25/100)</f>
        <v>0</v>
      </c>
      <c r="Z71" s="46">
        <f>SUMIF($B$13:$Y$13,"Yes",B71:Y71)</f>
        <v>0</v>
      </c>
      <c r="AA71" s="46">
        <f>SUM(B71:M71)</f>
        <v>0</v>
      </c>
      <c r="AB71" s="46">
        <f>SUM(B71:Y71)</f>
        <v>0</v>
      </c>
    </row>
    <row r="72" spans="1:30" collapsed="true">
      <c r="A72" s="16" t="s">
        <v>45</v>
      </c>
      <c r="B72" s="46">
        <f>IF(Inputs!$B$40="No",IF(Inputs!$B$42=Parameters!$C$78,Inputs!$B$41/12,IF(INDEX(Parameters!$D$79:$D$90,MATCH(Inputs!$B$42,Parameters!$C$79:$C$90,0))=MONTH(Output!B35),Inputs!$B$41,0)),0)</f>
        <v>0</v>
      </c>
      <c r="C72" s="46">
        <f>IF(Inputs!$B$40="No",IF(Inputs!$B$42=Parameters!$C$78,Inputs!$B$41/12,IF(INDEX(Parameters!$D$79:$D$90,MATCH(Inputs!$B$42,Parameters!$C$79:$C$90,0))=MONTH(Output!C35),Inputs!$B$41,0)),0)</f>
        <v>0</v>
      </c>
      <c r="D72" s="46">
        <f>IF(Inputs!$B$40="No",IF(Inputs!$B$42=Parameters!$C$78,Inputs!$B$41/12,IF(INDEX(Parameters!$D$79:$D$90,MATCH(Inputs!$B$42,Parameters!$C$79:$C$90,0))=MONTH(Output!D35),Inputs!$B$41,0)),0)</f>
        <v>0</v>
      </c>
      <c r="E72" s="46">
        <f>IF(Inputs!$B$40="No",IF(Inputs!$B$42=Parameters!$C$78,Inputs!$B$41/12,IF(INDEX(Parameters!$D$79:$D$90,MATCH(Inputs!$B$42,Parameters!$C$79:$C$90,0))=MONTH(Output!E35),Inputs!$B$41,0)),0)</f>
        <v>0</v>
      </c>
      <c r="F72" s="46">
        <f>IF(Inputs!$B$40="No",IF(Inputs!$B$42=Parameters!$C$78,Inputs!$B$41/12,IF(INDEX(Parameters!$D$79:$D$90,MATCH(Inputs!$B$42,Parameters!$C$79:$C$90,0))=MONTH(Output!F35),Inputs!$B$41,0)),0)</f>
        <v>0</v>
      </c>
      <c r="G72" s="46">
        <f>IF(Inputs!$B$40="No",IF(Inputs!$B$42=Parameters!$C$78,Inputs!$B$41/12,IF(INDEX(Parameters!$D$79:$D$90,MATCH(Inputs!$B$42,Parameters!$C$79:$C$90,0))=MONTH(Output!G35),Inputs!$B$41,0)),0)</f>
        <v>0</v>
      </c>
      <c r="H72" s="46">
        <f>IF(Inputs!$B$40="No",IF(Inputs!$B$42=Parameters!$C$78,Inputs!$B$41/12,IF(INDEX(Parameters!$D$79:$D$90,MATCH(Inputs!$B$42,Parameters!$C$79:$C$90,0))=MONTH(Output!H35),Inputs!$B$41,0)),0)</f>
        <v>0</v>
      </c>
      <c r="I72" s="46">
        <f>IF(Inputs!$B$40="No",IF(Inputs!$B$42=Parameters!$C$78,Inputs!$B$41/12,IF(INDEX(Parameters!$D$79:$D$90,MATCH(Inputs!$B$42,Parameters!$C$79:$C$90,0))=MONTH(Output!I35),Inputs!$B$41,0)),0)</f>
        <v>0</v>
      </c>
      <c r="J72" s="46">
        <f>IF(Inputs!$B$40="No",IF(Inputs!$B$42=Parameters!$C$78,Inputs!$B$41/12,IF(INDEX(Parameters!$D$79:$D$90,MATCH(Inputs!$B$42,Parameters!$C$79:$C$90,0))=MONTH(Output!J35),Inputs!$B$41,0)),0)</f>
        <v>0</v>
      </c>
      <c r="K72" s="46">
        <f>IF(Inputs!$B$40="No",IF(Inputs!$B$42=Parameters!$C$78,Inputs!$B$41/12,IF(INDEX(Parameters!$D$79:$D$90,MATCH(Inputs!$B$42,Parameters!$C$79:$C$90,0))=MONTH(Output!K35),Inputs!$B$41,0)),0)</f>
        <v>0</v>
      </c>
      <c r="L72" s="46">
        <f>IF(Inputs!$B$40="No",IF(Inputs!$B$42=Parameters!$C$78,Inputs!$B$41/12,IF(INDEX(Parameters!$D$79:$D$90,MATCH(Inputs!$B$42,Parameters!$C$79:$C$90,0))=MONTH(Output!L35),Inputs!$B$41,0)),0)</f>
        <v>0</v>
      </c>
      <c r="M72" s="46">
        <f>IF(Inputs!$B$40="No",IF(Inputs!$B$42=Parameters!$C$78,Inputs!$B$41/12,IF(INDEX(Parameters!$D$79:$D$90,MATCH(Inputs!$B$42,Parameters!$C$79:$C$90,0))=MONTH(Output!M35),Inputs!$B$41,0)),0)</f>
        <v>0</v>
      </c>
      <c r="N72" s="46">
        <f>IF(Inputs!$B$40="No",IF(Inputs!$B$42=Parameters!$C$78,Inputs!$B$41/12,IF(INDEX(Parameters!$D$79:$D$90,MATCH(Inputs!$B$42,Parameters!$C$79:$C$90,0))=MONTH(Output!N35),Inputs!$B$41,0)),0)</f>
        <v>0</v>
      </c>
      <c r="O72" s="46">
        <f>IF(Inputs!$B$40="No",IF(Inputs!$B$42=Parameters!$C$78,Inputs!$B$41/12,IF(INDEX(Parameters!$D$79:$D$90,MATCH(Inputs!$B$42,Parameters!$C$79:$C$90,0))=MONTH(Output!O35),Inputs!$B$41,0)),0)</f>
        <v>0</v>
      </c>
      <c r="P72" s="46">
        <f>IF(Inputs!$B$40="No",IF(Inputs!$B$42=Parameters!$C$78,Inputs!$B$41/12,IF(INDEX(Parameters!$D$79:$D$90,MATCH(Inputs!$B$42,Parameters!$C$79:$C$90,0))=MONTH(Output!P35),Inputs!$B$41,0)),0)</f>
        <v>0</v>
      </c>
      <c r="Q72" s="46">
        <f>IF(Inputs!$B$40="No",IF(Inputs!$B$42=Parameters!$C$78,Inputs!$B$41/12,IF(INDEX(Parameters!$D$79:$D$90,MATCH(Inputs!$B$42,Parameters!$C$79:$C$90,0))=MONTH(Output!Q35),Inputs!$B$41,0)),0)</f>
        <v>0</v>
      </c>
      <c r="R72" s="46">
        <f>IF(Inputs!$B$40="No",IF(Inputs!$B$42=Parameters!$C$78,Inputs!$B$41/12,IF(INDEX(Parameters!$D$79:$D$90,MATCH(Inputs!$B$42,Parameters!$C$79:$C$90,0))=MONTH(Output!R35),Inputs!$B$41,0)),0)</f>
        <v>0</v>
      </c>
      <c r="S72" s="46">
        <f>IF(Inputs!$B$40="No",IF(Inputs!$B$42=Parameters!$C$78,Inputs!$B$41/12,IF(INDEX(Parameters!$D$79:$D$90,MATCH(Inputs!$B$42,Parameters!$C$79:$C$90,0))=MONTH(Output!S35),Inputs!$B$41,0)),0)</f>
        <v>0</v>
      </c>
      <c r="T72" s="46">
        <f>IF(Inputs!$B$40="No",IF(Inputs!$B$42=Parameters!$C$78,Inputs!$B$41/12,IF(INDEX(Parameters!$D$79:$D$90,MATCH(Inputs!$B$42,Parameters!$C$79:$C$90,0))=MONTH(Output!T35),Inputs!$B$41,0)),0)</f>
        <v>0</v>
      </c>
      <c r="U72" s="46">
        <f>IF(Inputs!$B$40="No",IF(Inputs!$B$42=Parameters!$C$78,Inputs!$B$41/12,IF(INDEX(Parameters!$D$79:$D$90,MATCH(Inputs!$B$42,Parameters!$C$79:$C$90,0))=MONTH(Output!U35),Inputs!$B$41,0)),0)</f>
        <v>0</v>
      </c>
      <c r="V72" s="46">
        <f>IF(Inputs!$B$40="No",IF(Inputs!$B$42=Parameters!$C$78,Inputs!$B$41/12,IF(INDEX(Parameters!$D$79:$D$90,MATCH(Inputs!$B$42,Parameters!$C$79:$C$90,0))=MONTH(Output!V35),Inputs!$B$41,0)),0)</f>
        <v>0</v>
      </c>
      <c r="W72" s="46">
        <f>IF(Inputs!$B$40="No",IF(Inputs!$B$42=Parameters!$C$78,Inputs!$B$41/12,IF(INDEX(Parameters!$D$79:$D$90,MATCH(Inputs!$B$42,Parameters!$C$79:$C$90,0))=MONTH(Output!W35),Inputs!$B$41,0)),0)</f>
        <v>0</v>
      </c>
      <c r="X72" s="46">
        <f>IF(Inputs!$B$40="No",IF(Inputs!$B$42=Parameters!$C$78,Inputs!$B$41/12,IF(INDEX(Parameters!$D$79:$D$90,MATCH(Inputs!$B$42,Parameters!$C$79:$C$90,0))=MONTH(Output!X35),Inputs!$B$41,0)),0)</f>
        <v>0</v>
      </c>
      <c r="Y72" s="46">
        <f>IF(Inputs!$B$40="No",IF(Inputs!$B$42=Parameters!$C$78,Inputs!$B$41/12,IF(INDEX(Parameters!$D$79:$D$90,MATCH(Inputs!$B$42,Parameters!$C$79:$C$90,0))=MONTH(Output!Y35),Inputs!$B$41,0)),0)</f>
        <v>0</v>
      </c>
      <c r="Z72" s="46">
        <f>SUMIF($B$13:$Y$13,"Yes",B72:Y72)</f>
        <v>0</v>
      </c>
      <c r="AA72" s="46">
        <f>SUM(B72:M72)</f>
        <v>0</v>
      </c>
      <c r="AB72" s="46">
        <f>SUM(B72:Y72)</f>
        <v>0</v>
      </c>
    </row>
    <row r="73" spans="1:30" customHeight="1" ht="5.25">
      <c r="A73" s="43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  <c r="AB73" s="46"/>
    </row>
    <row r="74" spans="1:30">
      <c r="A74" s="16" t="s">
        <v>46</v>
      </c>
      <c r="B74" s="46">
        <f>SUM(Calculations!$Q$14:$Q$16)/12</f>
        <v>1520.833333333333</v>
      </c>
      <c r="C74" s="46">
        <f>SUM(Calculations!$Q$14:$Q$16)/12</f>
        <v>1520.833333333333</v>
      </c>
      <c r="D74" s="46">
        <f>SUM(Calculations!$Q$14:$Q$16)/12</f>
        <v>1520.833333333333</v>
      </c>
      <c r="E74" s="46">
        <f>SUM(Calculations!$Q$14:$Q$16)/12</f>
        <v>1520.833333333333</v>
      </c>
      <c r="F74" s="46">
        <f>SUM(Calculations!$Q$14:$Q$16)/12</f>
        <v>1520.833333333333</v>
      </c>
      <c r="G74" s="46">
        <f>SUM(Calculations!$Q$14:$Q$16)/12</f>
        <v>1520.833333333333</v>
      </c>
      <c r="H74" s="46">
        <f>SUM(Calculations!$Q$14:$Q$16)/12</f>
        <v>1520.833333333333</v>
      </c>
      <c r="I74" s="46">
        <f>SUM(Calculations!$Q$14:$Q$16)/12</f>
        <v>1520.833333333333</v>
      </c>
      <c r="J74" s="46">
        <f>SUM(Calculations!$Q$14:$Q$16)/12</f>
        <v>1520.833333333333</v>
      </c>
      <c r="K74" s="46">
        <f>SUM(Calculations!$Q$14:$Q$16)/12</f>
        <v>1520.833333333333</v>
      </c>
      <c r="L74" s="46">
        <f>SUM(Calculations!$Q$14:$Q$16)/12</f>
        <v>1520.833333333333</v>
      </c>
      <c r="M74" s="46">
        <f>SUM(Calculations!$Q$14:$Q$16)/12</f>
        <v>1520.833333333333</v>
      </c>
      <c r="N74" s="46">
        <f>SUM(Calculations!$Q$14:$Q$16)/12</f>
        <v>1520.833333333333</v>
      </c>
      <c r="O74" s="46">
        <f>SUM(Calculations!$Q$14:$Q$16)/12</f>
        <v>1520.833333333333</v>
      </c>
      <c r="P74" s="46">
        <f>SUM(Calculations!$Q$14:$Q$16)/12</f>
        <v>1520.833333333333</v>
      </c>
      <c r="Q74" s="46">
        <f>SUM(Calculations!$Q$14:$Q$16)/12</f>
        <v>1520.833333333333</v>
      </c>
      <c r="R74" s="46">
        <f>SUM(Calculations!$Q$14:$Q$16)/12</f>
        <v>1520.833333333333</v>
      </c>
      <c r="S74" s="46">
        <f>SUM(Calculations!$Q$14:$Q$16)/12</f>
        <v>1520.833333333333</v>
      </c>
      <c r="T74" s="46">
        <f>SUM(Calculations!$Q$14:$Q$16)/12</f>
        <v>1520.833333333333</v>
      </c>
      <c r="U74" s="46">
        <f>SUM(Calculations!$Q$14:$Q$16)/12</f>
        <v>1520.833333333333</v>
      </c>
      <c r="V74" s="46">
        <f>SUM(Calculations!$Q$14:$Q$16)/12</f>
        <v>1520.833333333333</v>
      </c>
      <c r="W74" s="46">
        <f>SUM(Calculations!$Q$14:$Q$16)/12</f>
        <v>1520.833333333333</v>
      </c>
      <c r="X74" s="46">
        <f>SUM(Calculations!$Q$14:$Q$16)/12</f>
        <v>1520.833333333333</v>
      </c>
      <c r="Y74" s="46">
        <f>SUM(Calculations!$Q$14:$Q$16)/12</f>
        <v>1520.833333333333</v>
      </c>
      <c r="Z74" s="46">
        <f>SUMIF($B$13:$Y$13,"Yes",B74:Y74)</f>
        <v>19770.83333333333</v>
      </c>
      <c r="AA74" s="46">
        <f>SUM(B74:M74)</f>
        <v>18250</v>
      </c>
      <c r="AB74" s="46">
        <f>SUM(B74:Y74)</f>
        <v>36499.99999999999</v>
      </c>
    </row>
    <row r="75" spans="1:30">
      <c r="A75" s="16" t="s">
        <v>47</v>
      </c>
      <c r="B75" s="46">
        <f>SUM(Calculations!$R$14:$R$16)/12</f>
        <v>266.6666666666667</v>
      </c>
      <c r="C75" s="46">
        <f>SUM(Calculations!$R$14:$R$16)/12</f>
        <v>266.6666666666667</v>
      </c>
      <c r="D75" s="46">
        <f>SUM(Calculations!$R$14:$R$16)/12</f>
        <v>266.6666666666667</v>
      </c>
      <c r="E75" s="46">
        <f>SUM(Calculations!$R$14:$R$16)/12</f>
        <v>266.6666666666667</v>
      </c>
      <c r="F75" s="46">
        <f>SUM(Calculations!$R$14:$R$16)/12</f>
        <v>266.6666666666667</v>
      </c>
      <c r="G75" s="46">
        <f>SUM(Calculations!$R$14:$R$16)/12</f>
        <v>266.6666666666667</v>
      </c>
      <c r="H75" s="46">
        <f>SUM(Calculations!$R$14:$R$16)/12</f>
        <v>266.6666666666667</v>
      </c>
      <c r="I75" s="46">
        <f>SUM(Calculations!$R$14:$R$16)/12</f>
        <v>266.6666666666667</v>
      </c>
      <c r="J75" s="46">
        <f>SUM(Calculations!$R$14:$R$16)/12</f>
        <v>266.6666666666667</v>
      </c>
      <c r="K75" s="46">
        <f>SUM(Calculations!$R$14:$R$16)/12</f>
        <v>266.6666666666667</v>
      </c>
      <c r="L75" s="46">
        <f>SUM(Calculations!$R$14:$R$16)/12</f>
        <v>266.6666666666667</v>
      </c>
      <c r="M75" s="46">
        <f>SUM(Calculations!$R$14:$R$16)/12</f>
        <v>266.6666666666667</v>
      </c>
      <c r="N75" s="46">
        <f>SUM(Calculations!$R$14:$R$16)/12</f>
        <v>266.6666666666667</v>
      </c>
      <c r="O75" s="46">
        <f>SUM(Calculations!$R$14:$R$16)/12</f>
        <v>266.6666666666667</v>
      </c>
      <c r="P75" s="46">
        <f>SUM(Calculations!$R$14:$R$16)/12</f>
        <v>266.6666666666667</v>
      </c>
      <c r="Q75" s="46">
        <f>SUM(Calculations!$R$14:$R$16)/12</f>
        <v>266.6666666666667</v>
      </c>
      <c r="R75" s="46">
        <f>SUM(Calculations!$R$14:$R$16)/12</f>
        <v>266.6666666666667</v>
      </c>
      <c r="S75" s="46">
        <f>SUM(Calculations!$R$14:$R$16)/12</f>
        <v>266.6666666666667</v>
      </c>
      <c r="T75" s="46">
        <f>SUM(Calculations!$R$14:$R$16)/12</f>
        <v>266.6666666666667</v>
      </c>
      <c r="U75" s="46">
        <f>SUM(Calculations!$R$14:$R$16)/12</f>
        <v>266.6666666666667</v>
      </c>
      <c r="V75" s="46">
        <f>SUM(Calculations!$R$14:$R$16)/12</f>
        <v>266.6666666666667</v>
      </c>
      <c r="W75" s="46">
        <f>SUM(Calculations!$R$14:$R$16)/12</f>
        <v>266.6666666666667</v>
      </c>
      <c r="X75" s="46">
        <f>SUM(Calculations!$R$14:$R$16)/12</f>
        <v>266.6666666666667</v>
      </c>
      <c r="Y75" s="46">
        <f>SUM(Calculations!$R$14:$R$16)/12</f>
        <v>266.6666666666667</v>
      </c>
      <c r="Z75" s="46">
        <f>SUMIF($B$13:$Y$13,"Yes",B75:Y75)</f>
        <v>3466.666666666666</v>
      </c>
      <c r="AA75" s="46">
        <f>SUM(B75:M75)</f>
        <v>3200</v>
      </c>
      <c r="AB75" s="46">
        <f>SUM(B75:Y75)</f>
        <v>6400.000000000002</v>
      </c>
    </row>
    <row r="76" spans="1:30">
      <c r="A76" s="16" t="s">
        <v>48</v>
      </c>
      <c r="B76" s="46">
        <f>SUM(Calculations!$S$14:$S$16)/12</f>
        <v>366.6666666666667</v>
      </c>
      <c r="C76" s="46">
        <f>SUM(Calculations!$S$14:$S$16)/12</f>
        <v>366.6666666666667</v>
      </c>
      <c r="D76" s="46">
        <f>SUM(Calculations!$S$14:$S$16)/12</f>
        <v>366.6666666666667</v>
      </c>
      <c r="E76" s="46">
        <f>SUM(Calculations!$S$14:$S$16)/12</f>
        <v>366.6666666666667</v>
      </c>
      <c r="F76" s="46">
        <f>SUM(Calculations!$S$14:$S$16)/12</f>
        <v>366.6666666666667</v>
      </c>
      <c r="G76" s="46">
        <f>SUM(Calculations!$S$14:$S$16)/12</f>
        <v>366.6666666666667</v>
      </c>
      <c r="H76" s="46">
        <f>SUM(Calculations!$S$14:$S$16)/12</f>
        <v>366.6666666666667</v>
      </c>
      <c r="I76" s="46">
        <f>SUM(Calculations!$S$14:$S$16)/12</f>
        <v>366.6666666666667</v>
      </c>
      <c r="J76" s="46">
        <f>SUM(Calculations!$S$14:$S$16)/12</f>
        <v>366.6666666666667</v>
      </c>
      <c r="K76" s="46">
        <f>SUM(Calculations!$S$14:$S$16)/12</f>
        <v>366.6666666666667</v>
      </c>
      <c r="L76" s="46">
        <f>SUM(Calculations!$S$14:$S$16)/12</f>
        <v>366.6666666666667</v>
      </c>
      <c r="M76" s="46">
        <f>SUM(Calculations!$S$14:$S$16)/12</f>
        <v>366.6666666666667</v>
      </c>
      <c r="N76" s="46">
        <f>SUM(Calculations!$S$14:$S$16)/12</f>
        <v>366.6666666666667</v>
      </c>
      <c r="O76" s="46">
        <f>SUM(Calculations!$S$14:$S$16)/12</f>
        <v>366.6666666666667</v>
      </c>
      <c r="P76" s="46">
        <f>SUM(Calculations!$S$14:$S$16)/12</f>
        <v>366.6666666666667</v>
      </c>
      <c r="Q76" s="46">
        <f>SUM(Calculations!$S$14:$S$16)/12</f>
        <v>366.6666666666667</v>
      </c>
      <c r="R76" s="46">
        <f>SUM(Calculations!$S$14:$S$16)/12</f>
        <v>366.6666666666667</v>
      </c>
      <c r="S76" s="46">
        <f>SUM(Calculations!$S$14:$S$16)/12</f>
        <v>366.6666666666667</v>
      </c>
      <c r="T76" s="46">
        <f>SUM(Calculations!$S$14:$S$16)/12</f>
        <v>366.6666666666667</v>
      </c>
      <c r="U76" s="46">
        <f>SUM(Calculations!$S$14:$S$16)/12</f>
        <v>366.6666666666667</v>
      </c>
      <c r="V76" s="46">
        <f>SUM(Calculations!$S$14:$S$16)/12</f>
        <v>366.6666666666667</v>
      </c>
      <c r="W76" s="46">
        <f>SUM(Calculations!$S$14:$S$16)/12</f>
        <v>366.6666666666667</v>
      </c>
      <c r="X76" s="46">
        <f>SUM(Calculations!$S$14:$S$16)/12</f>
        <v>366.6666666666667</v>
      </c>
      <c r="Y76" s="46">
        <f>SUM(Calculations!$S$14:$S$16)/12</f>
        <v>366.6666666666667</v>
      </c>
      <c r="Z76" s="46">
        <f>SUMIF($B$13:$Y$13,"Yes",B76:Y76)</f>
        <v>4766.666666666666</v>
      </c>
      <c r="AA76" s="46">
        <f>SUM(B76:M76)</f>
        <v>4399.999999999999</v>
      </c>
      <c r="AB76" s="46">
        <f>SUM(B76:Y76)</f>
        <v>8800.000000000002</v>
      </c>
    </row>
    <row r="77" spans="1:30">
      <c r="A77" s="16" t="s">
        <v>49</v>
      </c>
      <c r="B77" s="46">
        <f>SUM(Inputs!$H$19:$H$21)</f>
        <v>0</v>
      </c>
      <c r="C77" s="46">
        <f>SUM(Inputs!$H$19:$H$21)</f>
        <v>0</v>
      </c>
      <c r="D77" s="46">
        <f>SUM(Inputs!$H$19:$H$21)</f>
        <v>0</v>
      </c>
      <c r="E77" s="46">
        <f>SUM(Inputs!$H$19:$H$21)</f>
        <v>0</v>
      </c>
      <c r="F77" s="46">
        <f>SUM(Inputs!$H$19:$H$21)</f>
        <v>0</v>
      </c>
      <c r="G77" s="46">
        <f>SUM(Inputs!$H$19:$H$21)</f>
        <v>0</v>
      </c>
      <c r="H77" s="46">
        <f>SUM(Inputs!$H$19:$H$21)</f>
        <v>0</v>
      </c>
      <c r="I77" s="46">
        <f>SUM(Inputs!$H$19:$H$21)</f>
        <v>0</v>
      </c>
      <c r="J77" s="46">
        <f>SUM(Inputs!$H$19:$H$21)</f>
        <v>0</v>
      </c>
      <c r="K77" s="46">
        <f>SUM(Inputs!$H$19:$H$21)</f>
        <v>0</v>
      </c>
      <c r="L77" s="46">
        <f>SUM(Inputs!$H$19:$H$21)</f>
        <v>0</v>
      </c>
      <c r="M77" s="46">
        <f>SUM(Inputs!$H$19:$H$21)</f>
        <v>0</v>
      </c>
      <c r="N77" s="46">
        <f>SUM(Inputs!$H$19:$H$21)</f>
        <v>0</v>
      </c>
      <c r="O77" s="46">
        <f>SUM(Inputs!$H$19:$H$21)</f>
        <v>0</v>
      </c>
      <c r="P77" s="46">
        <f>SUM(Inputs!$H$19:$H$21)</f>
        <v>0</v>
      </c>
      <c r="Q77" s="46">
        <f>SUM(Inputs!$H$19:$H$21)</f>
        <v>0</v>
      </c>
      <c r="R77" s="46">
        <f>SUM(Inputs!$H$19:$H$21)</f>
        <v>0</v>
      </c>
      <c r="S77" s="46">
        <f>SUM(Inputs!$H$19:$H$21)</f>
        <v>0</v>
      </c>
      <c r="T77" s="46">
        <f>SUM(Inputs!$H$19:$H$21)</f>
        <v>0</v>
      </c>
      <c r="U77" s="46">
        <f>SUM(Inputs!$H$19:$H$21)</f>
        <v>0</v>
      </c>
      <c r="V77" s="46">
        <f>SUM(Inputs!$H$19:$H$21)</f>
        <v>0</v>
      </c>
      <c r="W77" s="46">
        <f>SUM(Inputs!$H$19:$H$21)</f>
        <v>0</v>
      </c>
      <c r="X77" s="46">
        <f>SUM(Inputs!$H$19:$H$21)</f>
        <v>0</v>
      </c>
      <c r="Y77" s="46">
        <f>SUM(Inputs!$H$19:$H$21)</f>
        <v>0</v>
      </c>
      <c r="Z77" s="46">
        <f>SUMIF($B$13:$Y$13,"Yes",B77:Y77)</f>
        <v>0</v>
      </c>
      <c r="AA77" s="46">
        <f>SUM(B77:M77)</f>
        <v>0</v>
      </c>
      <c r="AB77" s="46">
        <f>SUM(B77:Y77)</f>
        <v>0</v>
      </c>
    </row>
    <row r="78" spans="1:30" customHeight="1" ht="5.25">
      <c r="A78" s="1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>
        <f>SUM(IF($B$9:$Y$9+$B$10:$Y$10&gt;0,B78:Y78,0))</f>
        <v>0</v>
      </c>
      <c r="AA78" s="46"/>
      <c r="AB78" s="46"/>
    </row>
    <row r="79" spans="1:30">
      <c r="A79" s="43" t="s">
        <v>36</v>
      </c>
      <c r="B79" s="46">
        <f>Inputs!$B$31</f>
        <v>5000</v>
      </c>
      <c r="C79" s="46">
        <f>Inputs!$B$31</f>
        <v>5000</v>
      </c>
      <c r="D79" s="46">
        <f>Inputs!$B$31</f>
        <v>5000</v>
      </c>
      <c r="E79" s="46">
        <f>Inputs!$B$31</f>
        <v>5000</v>
      </c>
      <c r="F79" s="46">
        <f>Inputs!$B$31</f>
        <v>5000</v>
      </c>
      <c r="G79" s="46">
        <f>Inputs!$B$31</f>
        <v>5000</v>
      </c>
      <c r="H79" s="46">
        <f>Inputs!$B$31</f>
        <v>5000</v>
      </c>
      <c r="I79" s="46">
        <f>Inputs!$B$31</f>
        <v>5000</v>
      </c>
      <c r="J79" s="46">
        <f>Inputs!$B$31</f>
        <v>5000</v>
      </c>
      <c r="K79" s="46">
        <f>Inputs!$B$31</f>
        <v>5000</v>
      </c>
      <c r="L79" s="46">
        <f>Inputs!$B$31</f>
        <v>5000</v>
      </c>
      <c r="M79" s="46">
        <f>Inputs!$B$31</f>
        <v>5000</v>
      </c>
      <c r="N79" s="46">
        <f>Inputs!$B$31</f>
        <v>5000</v>
      </c>
      <c r="O79" s="46">
        <f>Inputs!$B$31</f>
        <v>5000</v>
      </c>
      <c r="P79" s="46">
        <f>Inputs!$B$31</f>
        <v>5000</v>
      </c>
      <c r="Q79" s="46">
        <f>Inputs!$B$31</f>
        <v>5000</v>
      </c>
      <c r="R79" s="46">
        <f>Inputs!$B$31</f>
        <v>5000</v>
      </c>
      <c r="S79" s="46">
        <f>Inputs!$B$31</f>
        <v>5000</v>
      </c>
      <c r="T79" s="46">
        <f>Inputs!$B$31</f>
        <v>5000</v>
      </c>
      <c r="U79" s="46">
        <f>Inputs!$B$31</f>
        <v>5000</v>
      </c>
      <c r="V79" s="46">
        <f>Inputs!$B$31</f>
        <v>5000</v>
      </c>
      <c r="W79" s="46">
        <f>Inputs!$B$31</f>
        <v>5000</v>
      </c>
      <c r="X79" s="46">
        <f>Inputs!$B$31</f>
        <v>5000</v>
      </c>
      <c r="Y79" s="46">
        <f>Inputs!$B$31</f>
        <v>5000</v>
      </c>
      <c r="Z79" s="46">
        <f>SUMIF($B$13:$Y$13,"Yes",B79:Y79)</f>
        <v>65000</v>
      </c>
      <c r="AA79" s="46">
        <f>SUM(B79:M79)</f>
        <v>60000</v>
      </c>
      <c r="AB79" s="46">
        <f>SUM(B79:Y79)</f>
        <v>120000</v>
      </c>
    </row>
    <row r="80" spans="1:30">
      <c r="A80" s="16" t="s">
        <v>50</v>
      </c>
      <c r="B80" s="46">
        <f>SUMPRODUCT((Inputs!$D$35:$D$36=MONTH(Output!B35))+0,Inputs!$B$35:$B$36)</f>
        <v>0</v>
      </c>
      <c r="C80" s="46">
        <f>SUMPRODUCT((Inputs!$D$35:$D$36=MONTH(Output!C35))+0,Inputs!$B$35:$B$36)</f>
        <v>0</v>
      </c>
      <c r="D80" s="46">
        <f>SUMPRODUCT((Inputs!$D$35:$D$36=MONTH(Output!D35))+0,Inputs!$B$35:$B$36)</f>
        <v>0</v>
      </c>
      <c r="E80" s="46">
        <f>SUMPRODUCT((Inputs!$D$35:$D$36=MONTH(Output!E35))+0,Inputs!$B$35:$B$36)</f>
        <v>0</v>
      </c>
      <c r="F80" s="46">
        <f>SUMPRODUCT((Inputs!$D$35:$D$36=MONTH(Output!F35))+0,Inputs!$B$35:$B$36)</f>
        <v>0</v>
      </c>
      <c r="G80" s="46">
        <f>SUMPRODUCT((Inputs!$D$35:$D$36=MONTH(Output!G35))+0,Inputs!$B$35:$B$36)</f>
        <v>0</v>
      </c>
      <c r="H80" s="46">
        <f>SUMPRODUCT((Inputs!$D$35:$D$36=MONTH(Output!H35))+0,Inputs!$B$35:$B$36)</f>
        <v>0</v>
      </c>
      <c r="I80" s="46">
        <f>SUMPRODUCT((Inputs!$D$35:$D$36=MONTH(Output!I35))+0,Inputs!$B$35:$B$36)</f>
        <v>0</v>
      </c>
      <c r="J80" s="46">
        <f>SUMPRODUCT((Inputs!$D$35:$D$36=MONTH(Output!J35))+0,Inputs!$B$35:$B$36)</f>
        <v>0</v>
      </c>
      <c r="K80" s="46">
        <f>SUMPRODUCT((Inputs!$D$35:$D$36=MONTH(Output!K35))+0,Inputs!$B$35:$B$36)</f>
        <v>0</v>
      </c>
      <c r="L80" s="46">
        <f>SUMPRODUCT((Inputs!$D$35:$D$36=MONTH(Output!L35))+0,Inputs!$B$35:$B$36)</f>
        <v>0</v>
      </c>
      <c r="M80" s="46">
        <f>SUMPRODUCT((Inputs!$D$35:$D$36=MONTH(Output!M35))+0,Inputs!$B$35:$B$36)</f>
        <v>0</v>
      </c>
      <c r="N80" s="46">
        <v>0</v>
      </c>
      <c r="O80" s="46">
        <v>0</v>
      </c>
      <c r="P80" s="46">
        <v>0</v>
      </c>
      <c r="Q80" s="46">
        <v>0</v>
      </c>
      <c r="R80" s="46">
        <v>0</v>
      </c>
      <c r="S80" s="46">
        <v>0</v>
      </c>
      <c r="T80" s="46">
        <v>0</v>
      </c>
      <c r="U80" s="46">
        <v>0</v>
      </c>
      <c r="V80" s="46">
        <v>0</v>
      </c>
      <c r="W80" s="46">
        <v>0</v>
      </c>
      <c r="X80" s="46">
        <v>0</v>
      </c>
      <c r="Y80" s="46">
        <v>0</v>
      </c>
      <c r="Z80" s="46">
        <f>SUMIF($B$13:$Y$13,"Yes",B80:Y80)</f>
        <v>0</v>
      </c>
      <c r="AA80" s="46">
        <f>SUM(B80:M80)</f>
        <v>0</v>
      </c>
      <c r="AB80" s="46">
        <f>SUM(B80:Y80)</f>
        <v>0</v>
      </c>
    </row>
    <row r="81" spans="1:30">
      <c r="A81" s="43" t="s">
        <v>51</v>
      </c>
      <c r="B81" s="46">
        <f>(SUM($AA$18:$AA$29)-SUM($AA$36,$AA$42,$AA$48,$AA$54,$AA$60,$AA$66,$AA$72:$AA$79))*Parameters!$B$37/12</f>
        <v>7229.351319999999</v>
      </c>
      <c r="C81" s="46">
        <f>(SUM($AA$18:$AA$29)-SUM($AA$36,$AA$42,$AA$48,$AA$54,$AA$60,$AA$66,$AA$72:$AA$79))*Parameters!$B$37/12</f>
        <v>7229.351319999999</v>
      </c>
      <c r="D81" s="46">
        <f>(SUM($AA$18:$AA$29)-SUM($AA$36,$AA$42,$AA$48,$AA$54,$AA$60,$AA$66,$AA$72:$AA$79))*Parameters!$B$37/12</f>
        <v>7229.351319999999</v>
      </c>
      <c r="E81" s="46">
        <f>(SUM($AA$18:$AA$29)-SUM($AA$36,$AA$42,$AA$48,$AA$54,$AA$60,$AA$66,$AA$72:$AA$79))*Parameters!$B$37/12</f>
        <v>7229.351319999999</v>
      </c>
      <c r="F81" s="46">
        <f>(SUM($AA$18:$AA$29)-SUM($AA$36,$AA$42,$AA$48,$AA$54,$AA$60,$AA$66,$AA$72:$AA$79))*Parameters!$B$37/12</f>
        <v>7229.351319999999</v>
      </c>
      <c r="G81" s="46">
        <f>(SUM($AA$18:$AA$29)-SUM($AA$36,$AA$42,$AA$48,$AA$54,$AA$60,$AA$66,$AA$72:$AA$79))*Parameters!$B$37/12</f>
        <v>7229.351319999999</v>
      </c>
      <c r="H81" s="46">
        <f>(SUM($AA$18:$AA$29)-SUM($AA$36,$AA$42,$AA$48,$AA$54,$AA$60,$AA$66,$AA$72:$AA$79))*Parameters!$B$37/12</f>
        <v>7229.351319999999</v>
      </c>
      <c r="I81" s="46">
        <f>(SUM($AA$18:$AA$29)-SUM($AA$36,$AA$42,$AA$48,$AA$54,$AA$60,$AA$66,$AA$72:$AA$79))*Parameters!$B$37/12</f>
        <v>7229.351319999999</v>
      </c>
      <c r="J81" s="46">
        <f>(SUM($AA$18:$AA$29)-SUM($AA$36,$AA$42,$AA$48,$AA$54,$AA$60,$AA$66,$AA$72:$AA$79))*Parameters!$B$37/12</f>
        <v>7229.351319999999</v>
      </c>
      <c r="K81" s="46">
        <f>(SUM($AA$18:$AA$29)-SUM($AA$36,$AA$42,$AA$48,$AA$54,$AA$60,$AA$66,$AA$72:$AA$79))*Parameters!$B$37/12</f>
        <v>7229.351319999999</v>
      </c>
      <c r="L81" s="46">
        <f>(SUM($AA$18:$AA$29)-SUM($AA$36,$AA$42,$AA$48,$AA$54,$AA$60,$AA$66,$AA$72:$AA$79))*Parameters!$B$37/12</f>
        <v>7229.351319999999</v>
      </c>
      <c r="M81" s="46">
        <f>(SUM($AA$18:$AA$29)-SUM($AA$36,$AA$42,$AA$48,$AA$54,$AA$60,$AA$66,$AA$72:$AA$79))*Parameters!$B$37/12</f>
        <v>7229.351319999999</v>
      </c>
      <c r="N81" s="46">
        <f>(SUM($AA$18:$AA$29)-SUM($AA$36,$AA$42,$AA$48,$AA$54,$AA$60,$AA$66,$AA$72:$AA$79))*Parameters!$B$37/12</f>
        <v>7229.351319999999</v>
      </c>
      <c r="O81" s="46">
        <f>(SUM($AA$18:$AA$29)-SUM($AA$36,$AA$42,$AA$48,$AA$54,$AA$60,$AA$66,$AA$72:$AA$79))*Parameters!$B$37/12</f>
        <v>7229.351319999999</v>
      </c>
      <c r="P81" s="46">
        <f>(SUM($AA$18:$AA$29)-SUM($AA$36,$AA$42,$AA$48,$AA$54,$AA$60,$AA$66,$AA$72:$AA$79))*Parameters!$B$37/12</f>
        <v>7229.351319999999</v>
      </c>
      <c r="Q81" s="46">
        <f>(SUM($AA$18:$AA$29)-SUM($AA$36,$AA$42,$AA$48,$AA$54,$AA$60,$AA$66,$AA$72:$AA$79))*Parameters!$B$37/12</f>
        <v>7229.351319999999</v>
      </c>
      <c r="R81" s="46">
        <f>(SUM($AA$18:$AA$29)-SUM($AA$36,$AA$42,$AA$48,$AA$54,$AA$60,$AA$66,$AA$72:$AA$79))*Parameters!$B$37/12</f>
        <v>7229.351319999999</v>
      </c>
      <c r="S81" s="46">
        <f>(SUM($AA$18:$AA$29)-SUM($AA$36,$AA$42,$AA$48,$AA$54,$AA$60,$AA$66,$AA$72:$AA$79))*Parameters!$B$37/12</f>
        <v>7229.351319999999</v>
      </c>
      <c r="T81" s="46">
        <f>(SUM($AA$18:$AA$29)-SUM($AA$36,$AA$42,$AA$48,$AA$54,$AA$60,$AA$66,$AA$72:$AA$79))*Parameters!$B$37/12</f>
        <v>7229.351319999999</v>
      </c>
      <c r="U81" s="46">
        <f>(SUM($AA$18:$AA$29)-SUM($AA$36,$AA$42,$AA$48,$AA$54,$AA$60,$AA$66,$AA$72:$AA$79))*Parameters!$B$37/12</f>
        <v>7229.351319999999</v>
      </c>
      <c r="V81" s="46">
        <f>(SUM($AA$18:$AA$29)-SUM($AA$36,$AA$42,$AA$48,$AA$54,$AA$60,$AA$66,$AA$72:$AA$79))*Parameters!$B$37/12</f>
        <v>7229.351319999999</v>
      </c>
      <c r="W81" s="46">
        <f>(SUM($AA$18:$AA$29)-SUM($AA$36,$AA$42,$AA$48,$AA$54,$AA$60,$AA$66,$AA$72:$AA$79))*Parameters!$B$37/12</f>
        <v>7229.351319999999</v>
      </c>
      <c r="X81" s="46">
        <f>(SUM($AA$18:$AA$29)-SUM($AA$36,$AA$42,$AA$48,$AA$54,$AA$60,$AA$66,$AA$72:$AA$79))*Parameters!$B$37/12</f>
        <v>7229.351319999999</v>
      </c>
      <c r="Y81" s="46">
        <f>(SUM($AA$18:$AA$29)-SUM($AA$36,$AA$42,$AA$48,$AA$54,$AA$60,$AA$66,$AA$72:$AA$79))*Parameters!$B$37/12</f>
        <v>7229.351319999999</v>
      </c>
      <c r="Z81" s="46">
        <f>SUMIF($B$13:$Y$13,"Yes",B81:Y81)</f>
        <v>93981.56716000001</v>
      </c>
      <c r="AA81" s="46">
        <f>SUM(B81:M81)</f>
        <v>86752.21584</v>
      </c>
      <c r="AB81" s="46">
        <f>SUM(B81:Y81)</f>
        <v>173504.43168</v>
      </c>
    </row>
    <row r="82" spans="1:30">
      <c r="A82" s="16" t="s">
        <v>52</v>
      </c>
      <c r="B82" s="46">
        <f>SUM(B83:B87)</f>
        <v>28.81750465549349</v>
      </c>
      <c r="C82" s="46">
        <f>SUM(C83:C87)</f>
        <v>28.81750465549349</v>
      </c>
      <c r="D82" s="46">
        <f>SUM(D83:D87)</f>
        <v>28.81750465549349</v>
      </c>
      <c r="E82" s="46">
        <f>SUM(E83:E87)</f>
        <v>28.81750465549349</v>
      </c>
      <c r="F82" s="46">
        <f>SUM(F83:F87)</f>
        <v>28.81750465549349</v>
      </c>
      <c r="G82" s="46">
        <f>SUM(G83:G87)</f>
        <v>28.81750465549349</v>
      </c>
      <c r="H82" s="46">
        <f>SUM(H83:H87)</f>
        <v>28.81750465549349</v>
      </c>
      <c r="I82" s="46">
        <f>SUM(I83:I87)</f>
        <v>28.81750465549349</v>
      </c>
      <c r="J82" s="46">
        <f>SUM(J83:J87)</f>
        <v>28.81750465549349</v>
      </c>
      <c r="K82" s="46">
        <f>SUM(K83:K87)</f>
        <v>28.81750465549349</v>
      </c>
      <c r="L82" s="46">
        <f>SUM(L83:L87)</f>
        <v>28.81750465549349</v>
      </c>
      <c r="M82" s="46">
        <f>SUM(M83:M87)</f>
        <v>28.81750465549349</v>
      </c>
      <c r="N82" s="46">
        <f>SUM(N83:N87)</f>
        <v>28.81750465549349</v>
      </c>
      <c r="O82" s="46">
        <f>SUM(O83:O87)</f>
        <v>28.81750465549349</v>
      </c>
      <c r="P82" s="46">
        <f>SUM(P83:P87)</f>
        <v>28.81750465549349</v>
      </c>
      <c r="Q82" s="46">
        <f>SUM(Q83:Q87)</f>
        <v>28.81750465549349</v>
      </c>
      <c r="R82" s="46">
        <f>SUM(R83:R87)</f>
        <v>28.81750465549349</v>
      </c>
      <c r="S82" s="46">
        <f>SUM(S83:S87)</f>
        <v>28.81750465549349</v>
      </c>
      <c r="T82" s="46">
        <f>SUM(T83:T87)</f>
        <v>28.81750465549349</v>
      </c>
      <c r="U82" s="46">
        <f>SUM(U83:U87)</f>
        <v>28.81750465549349</v>
      </c>
      <c r="V82" s="46">
        <f>SUM(V83:V87)</f>
        <v>28.81750465549349</v>
      </c>
      <c r="W82" s="46">
        <f>SUM(W83:W87)</f>
        <v>28.81750465549349</v>
      </c>
      <c r="X82" s="46">
        <f>SUM(X83:X87)</f>
        <v>28.81750465549349</v>
      </c>
      <c r="Y82" s="46">
        <f>SUM(Y83:Y87)</f>
        <v>28.81750465549349</v>
      </c>
      <c r="Z82" s="46">
        <f>SUMIF($B$13:$Y$13,"Yes",B82:Y82)</f>
        <v>374.6275605214154</v>
      </c>
      <c r="AA82" s="46">
        <f>SUM(B82:M82)</f>
        <v>345.8100558659219</v>
      </c>
      <c r="AB82" s="46">
        <f>SUM(B82:Y82)</f>
        <v>691.620111731844</v>
      </c>
    </row>
    <row r="83" spans="1:30" hidden="true" outlineLevel="1" s="43" customFormat="1">
      <c r="A83" s="187" t="s">
        <v>53</v>
      </c>
      <c r="B83" s="46">
        <f>IF(Calculations!$E23&gt;COUNT(Output!$B$35:B$35),Calculations!$B23,IF(Calculations!$E23=COUNT(Output!$B$35:B$35),Inputs!$B56-Calculations!$C23*(Calculations!$E23-1)+Calculations!$D23,0))</f>
        <v>0</v>
      </c>
      <c r="C83" s="46">
        <f>IF(Calculations!$E23&gt;COUNT(Output!$B$35:C$35),Calculations!$B23,IF(Calculations!$E23=COUNT(Output!$B$35:C$35),Inputs!$B56-Calculations!$C23*(Calculations!$E23-1)+Calculations!$D23,0))</f>
        <v>0</v>
      </c>
      <c r="D83" s="46">
        <f>IF(Calculations!$E23&gt;COUNT(Output!$B$35:D$35),Calculations!$B23,IF(Calculations!$E23=COUNT(Output!$B$35:D$35),Inputs!$B56-Calculations!$C23*(Calculations!$E23-1)+Calculations!$D23,0))</f>
        <v>0</v>
      </c>
      <c r="E83" s="46">
        <f>IF(Calculations!$E23&gt;COUNT(Output!$B$35:E$35),Calculations!$B23,IF(Calculations!$E23=COUNT(Output!$B$35:E$35),Inputs!$B56-Calculations!$C23*(Calculations!$E23-1)+Calculations!$D23,0))</f>
        <v>0</v>
      </c>
      <c r="F83" s="46">
        <f>IF(Calculations!$E23&gt;COUNT(Output!$B$35:F$35),Calculations!$B23,IF(Calculations!$E23=COUNT(Output!$B$35:F$35),Inputs!$B56-Calculations!$C23*(Calculations!$E23-1)+Calculations!$D23,0))</f>
        <v>0</v>
      </c>
      <c r="G83" s="46">
        <f>IF(Calculations!$E23&gt;COUNT(Output!$B$35:G$35),Calculations!$B23,IF(Calculations!$E23=COUNT(Output!$B$35:G$35),Inputs!$B56-Calculations!$C23*(Calculations!$E23-1)+Calculations!$D23,0))</f>
        <v>0</v>
      </c>
      <c r="H83" s="46">
        <f>IF(Calculations!$E23&gt;COUNT(Output!$B$35:H$35),Calculations!$B23,IF(Calculations!$E23=COUNT(Output!$B$35:H$35),Inputs!$B56-Calculations!$C23*(Calculations!$E23-1)+Calculations!$D23,0))</f>
        <v>0</v>
      </c>
      <c r="I83" s="46">
        <f>IF(Calculations!$E23&gt;COUNT(Output!$B$35:I$35),Calculations!$B23,IF(Calculations!$E23=COUNT(Output!$B$35:I$35),Inputs!$B56-Calculations!$C23*(Calculations!$E23-1)+Calculations!$D23,0))</f>
        <v>0</v>
      </c>
      <c r="J83" s="46">
        <f>IF(Calculations!$E23&gt;COUNT(Output!$B$35:J$35),Calculations!$B23,IF(Calculations!$E23=COUNT(Output!$B$35:J$35),Inputs!$B56-Calculations!$C23*(Calculations!$E23-1)+Calculations!$D23,0))</f>
        <v>0</v>
      </c>
      <c r="K83" s="46">
        <f>IF(Calculations!$E23&gt;COUNT(Output!$B$35:K$35),Calculations!$B23,IF(Calculations!$E23=COUNT(Output!$B$35:K$35),Inputs!$B56-Calculations!$C23*(Calculations!$E23-1)+Calculations!$D23,0))</f>
        <v>0</v>
      </c>
      <c r="L83" s="46">
        <f>IF(Calculations!$E23&gt;COUNT(Output!$B$35:L$35),Calculations!$B23,IF(Calculations!$E23=COUNT(Output!$B$35:L$35),Inputs!$B56-Calculations!$C23*(Calculations!$E23-1)+Calculations!$D23,0))</f>
        <v>0</v>
      </c>
      <c r="M83" s="46">
        <f>IF(Calculations!$E23&gt;COUNT(Output!$B$35:M$35),Calculations!$B23,IF(Calculations!$E23=COUNT(Output!$B$35:M$35),Inputs!$B56-Calculations!$C23*(Calculations!$E23-1)+Calculations!$D23,0))</f>
        <v>0</v>
      </c>
      <c r="N83" s="46">
        <f>IF(Calculations!$E23&gt;COUNT(Output!$B$35:N$35),Calculations!$B23,IF(Calculations!$E23=COUNT(Output!$B$35:N$35),Inputs!$B56-Calculations!$C23*(Calculations!$E23-1)+Calculations!$D23,0))</f>
        <v>0</v>
      </c>
      <c r="O83" s="46">
        <f>IF(Calculations!$E23&gt;COUNT(Output!$B$35:O$35),Calculations!$B23,IF(Calculations!$E23=COUNT(Output!$B$35:O$35),Inputs!$B56-Calculations!$C23*(Calculations!$E23-1)+Calculations!$D23,0))</f>
        <v>0</v>
      </c>
      <c r="P83" s="46">
        <f>IF(Calculations!$E23&gt;COUNT(Output!$B$35:P$35),Calculations!$B23,IF(Calculations!$E23=COUNT(Output!$B$35:P$35),Inputs!$B56-Calculations!$C23*(Calculations!$E23-1)+Calculations!$D23,0))</f>
        <v>0</v>
      </c>
      <c r="Q83" s="46">
        <f>IF(Calculations!$E23&gt;COUNT(Output!$B$35:Q$35),Calculations!$B23,IF(Calculations!$E23=COUNT(Output!$B$35:Q$35),Inputs!$B56-Calculations!$C23*(Calculations!$E23-1)+Calculations!$D23,0))</f>
        <v>0</v>
      </c>
      <c r="R83" s="46">
        <f>IF(Calculations!$E23&gt;COUNT(Output!$B$35:R$35),Calculations!$B23,IF(Calculations!$E23=COUNT(Output!$B$35:R$35),Inputs!$B56-Calculations!$C23*(Calculations!$E23-1)+Calculations!$D23,0))</f>
        <v>0</v>
      </c>
      <c r="S83" s="46">
        <f>IF(Calculations!$E23&gt;COUNT(Output!$B$35:S$35),Calculations!$B23,IF(Calculations!$E23=COUNT(Output!$B$35:S$35),Inputs!$B56-Calculations!$C23*(Calculations!$E23-1)+Calculations!$D23,0))</f>
        <v>0</v>
      </c>
      <c r="T83" s="46">
        <f>IF(Calculations!$E23&gt;COUNT(Output!$B$35:T$35),Calculations!$B23,IF(Calculations!$E23=COUNT(Output!$B$35:T$35),Inputs!$B56-Calculations!$C23*(Calculations!$E23-1)+Calculations!$D23,0))</f>
        <v>0</v>
      </c>
      <c r="U83" s="46">
        <f>IF(Calculations!$E23&gt;COUNT(Output!$B$35:U$35),Calculations!$B23,IF(Calculations!$E23=COUNT(Output!$B$35:U$35),Inputs!$B56-Calculations!$C23*(Calculations!$E23-1)+Calculations!$D23,0))</f>
        <v>0</v>
      </c>
      <c r="V83" s="46">
        <f>IF(Calculations!$E23&gt;COUNT(Output!$B$35:V$35),Calculations!$B23,IF(Calculations!$E23=COUNT(Output!$B$35:V$35),Inputs!$B56-Calculations!$C23*(Calculations!$E23-1)+Calculations!$D23,0))</f>
        <v>0</v>
      </c>
      <c r="W83" s="46">
        <f>IF(Calculations!$E23&gt;COUNT(Output!$B$35:W$35),Calculations!$B23,IF(Calculations!$E23=COUNT(Output!$B$35:W$35),Inputs!$B56-Calculations!$C23*(Calculations!$E23-1)+Calculations!$D23,0))</f>
        <v>0</v>
      </c>
      <c r="X83" s="46">
        <f>IF(Calculations!$E23&gt;COUNT(Output!$B$35:X$35),Calculations!$B23,IF(Calculations!$E23=COUNT(Output!$B$35:X$35),Inputs!$B56-Calculations!$C23*(Calculations!$E23-1)+Calculations!$D23,0))</f>
        <v>0</v>
      </c>
      <c r="Y83" s="46">
        <f>IF(Calculations!$E23&gt;COUNT(Output!$B$35:Y$35),Calculations!$B23,IF(Calculations!$E23=COUNT(Output!$B$35:Y$35),Inputs!$B56-Calculations!$C23*(Calculations!$E23-1)+Calculations!$D23,0))</f>
        <v>0</v>
      </c>
      <c r="Z83" s="46">
        <f>SUMIF($B$13:$Y$13,"Yes",B83:Y83)</f>
        <v>0</v>
      </c>
      <c r="AA83" s="46">
        <f>SUM(B83:M83)</f>
        <v>0</v>
      </c>
      <c r="AB83" s="46">
        <f>SUM(B83:Y83)</f>
        <v>0</v>
      </c>
    </row>
    <row r="84" spans="1:30" hidden="true" outlineLevel="1">
      <c r="A84" s="187" t="s">
        <v>54</v>
      </c>
      <c r="B84" s="46">
        <f>IF(Calculations!$E24&gt;COUNT(Output!$B$35:B$35),Calculations!$B24,IF(Calculations!$E24=COUNT(Output!$B$35:B$35),Inputs!$B57-Calculations!$C24*(Calculations!$E24-1)+Calculations!$D24,0))</f>
        <v>0</v>
      </c>
      <c r="C84" s="46">
        <f>IF(Calculations!$E24&gt;COUNT(Output!$B$35:C$35),Calculations!$B24,IF(Calculations!$E24=COUNT(Output!$B$35:C$35),Inputs!$B57-Calculations!$C24*(Calculations!$E24-1)+Calculations!$D24,0))</f>
        <v>0</v>
      </c>
      <c r="D84" s="46">
        <f>IF(Calculations!$E24&gt;COUNT(Output!$B$35:D$35),Calculations!$B24,IF(Calculations!$E24=COUNT(Output!$B$35:D$35),Inputs!$B57-Calculations!$C24*(Calculations!$E24-1)+Calculations!$D24,0))</f>
        <v>0</v>
      </c>
      <c r="E84" s="46">
        <f>IF(Calculations!$E24&gt;COUNT(Output!$B$35:E$35),Calculations!$B24,IF(Calculations!$E24=COUNT(Output!$B$35:E$35),Inputs!$B57-Calculations!$C24*(Calculations!$E24-1)+Calculations!$D24,0))</f>
        <v>0</v>
      </c>
      <c r="F84" s="46">
        <f>IF(Calculations!$E24&gt;COUNT(Output!$B$35:F$35),Calculations!$B24,IF(Calculations!$E24=COUNT(Output!$B$35:F$35),Inputs!$B57-Calculations!$C24*(Calculations!$E24-1)+Calculations!$D24,0))</f>
        <v>0</v>
      </c>
      <c r="G84" s="46">
        <f>IF(Calculations!$E24&gt;COUNT(Output!$B$35:G$35),Calculations!$B24,IF(Calculations!$E24=COUNT(Output!$B$35:G$35),Inputs!$B57-Calculations!$C24*(Calculations!$E24-1)+Calculations!$D24,0))</f>
        <v>0</v>
      </c>
      <c r="H84" s="46">
        <f>IF(Calculations!$E24&gt;COUNT(Output!$B$35:H$35),Calculations!$B24,IF(Calculations!$E24=COUNT(Output!$B$35:H$35),Inputs!$B57-Calculations!$C24*(Calculations!$E24-1)+Calculations!$D24,0))</f>
        <v>0</v>
      </c>
      <c r="I84" s="46">
        <f>IF(Calculations!$E24&gt;COUNT(Output!$B$35:I$35),Calculations!$B24,IF(Calculations!$E24=COUNT(Output!$B$35:I$35),Inputs!$B57-Calculations!$C24*(Calculations!$E24-1)+Calculations!$D24,0))</f>
        <v>0</v>
      </c>
      <c r="J84" s="46">
        <f>IF(Calculations!$E24&gt;COUNT(Output!$B$35:J$35),Calculations!$B24,IF(Calculations!$E24=COUNT(Output!$B$35:J$35),Inputs!$B57-Calculations!$C24*(Calculations!$E24-1)+Calculations!$D24,0))</f>
        <v>0</v>
      </c>
      <c r="K84" s="46">
        <f>IF(Calculations!$E24&gt;COUNT(Output!$B$35:K$35),Calculations!$B24,IF(Calculations!$E24=COUNT(Output!$B$35:K$35),Inputs!$B57-Calculations!$C24*(Calculations!$E24-1)+Calculations!$D24,0))</f>
        <v>0</v>
      </c>
      <c r="L84" s="46">
        <f>IF(Calculations!$E24&gt;COUNT(Output!$B$35:L$35),Calculations!$B24,IF(Calculations!$E24=COUNT(Output!$B$35:L$35),Inputs!$B57-Calculations!$C24*(Calculations!$E24-1)+Calculations!$D24,0))</f>
        <v>0</v>
      </c>
      <c r="M84" s="46">
        <f>IF(Calculations!$E24&gt;COUNT(Output!$B$35:M$35),Calculations!$B24,IF(Calculations!$E24=COUNT(Output!$B$35:M$35),Inputs!$B57-Calculations!$C24*(Calculations!$E24-1)+Calculations!$D24,0))</f>
        <v>0</v>
      </c>
      <c r="N84" s="46">
        <f>IF(Calculations!$E24&gt;COUNT(Output!$B$35:N$35),Calculations!$B24,IF(Calculations!$E24=COUNT(Output!$B$35:N$35),Inputs!$B57-Calculations!$C24*(Calculations!$E24-1)+Calculations!$D24,0))</f>
        <v>0</v>
      </c>
      <c r="O84" s="46">
        <f>IF(Calculations!$E24&gt;COUNT(Output!$B$35:O$35),Calculations!$B24,IF(Calculations!$E24=COUNT(Output!$B$35:O$35),Inputs!$B57-Calculations!$C24*(Calculations!$E24-1)+Calculations!$D24,0))</f>
        <v>0</v>
      </c>
      <c r="P84" s="46">
        <f>IF(Calculations!$E24&gt;COUNT(Output!$B$35:P$35),Calculations!$B24,IF(Calculations!$E24=COUNT(Output!$B$35:P$35),Inputs!$B57-Calculations!$C24*(Calculations!$E24-1)+Calculations!$D24,0))</f>
        <v>0</v>
      </c>
      <c r="Q84" s="46">
        <f>IF(Calculations!$E24&gt;COUNT(Output!$B$35:Q$35),Calculations!$B24,IF(Calculations!$E24=COUNT(Output!$B$35:Q$35),Inputs!$B57-Calculations!$C24*(Calculations!$E24-1)+Calculations!$D24,0))</f>
        <v>0</v>
      </c>
      <c r="R84" s="46">
        <f>IF(Calculations!$E24&gt;COUNT(Output!$B$35:R$35),Calculations!$B24,IF(Calculations!$E24=COUNT(Output!$B$35:R$35),Inputs!$B57-Calculations!$C24*(Calculations!$E24-1)+Calculations!$D24,0))</f>
        <v>0</v>
      </c>
      <c r="S84" s="46">
        <f>IF(Calculations!$E24&gt;COUNT(Output!$B$35:S$35),Calculations!$B24,IF(Calculations!$E24=COUNT(Output!$B$35:S$35),Inputs!$B57-Calculations!$C24*(Calculations!$E24-1)+Calculations!$D24,0))</f>
        <v>0</v>
      </c>
      <c r="T84" s="46">
        <f>IF(Calculations!$E24&gt;COUNT(Output!$B$35:T$35),Calculations!$B24,IF(Calculations!$E24=COUNT(Output!$B$35:T$35),Inputs!$B57-Calculations!$C24*(Calculations!$E24-1)+Calculations!$D24,0))</f>
        <v>0</v>
      </c>
      <c r="U84" s="46">
        <f>IF(Calculations!$E24&gt;COUNT(Output!$B$35:U$35),Calculations!$B24,IF(Calculations!$E24=COUNT(Output!$B$35:U$35),Inputs!$B57-Calculations!$C24*(Calculations!$E24-1)+Calculations!$D24,0))</f>
        <v>0</v>
      </c>
      <c r="V84" s="46">
        <f>IF(Calculations!$E24&gt;COUNT(Output!$B$35:V$35),Calculations!$B24,IF(Calculations!$E24=COUNT(Output!$B$35:V$35),Inputs!$B57-Calculations!$C24*(Calculations!$E24-1)+Calculations!$D24,0))</f>
        <v>0</v>
      </c>
      <c r="W84" s="46">
        <f>IF(Calculations!$E24&gt;COUNT(Output!$B$35:W$35),Calculations!$B24,IF(Calculations!$E24=COUNT(Output!$B$35:W$35),Inputs!$B57-Calculations!$C24*(Calculations!$E24-1)+Calculations!$D24,0))</f>
        <v>0</v>
      </c>
      <c r="X84" s="46">
        <f>IF(Calculations!$E24&gt;COUNT(Output!$B$35:X$35),Calculations!$B24,IF(Calculations!$E24=COUNT(Output!$B$35:X$35),Inputs!$B57-Calculations!$C24*(Calculations!$E24-1)+Calculations!$D24,0))</f>
        <v>0</v>
      </c>
      <c r="Y84" s="46">
        <f>IF(Calculations!$E24&gt;COUNT(Output!$B$35:Y$35),Calculations!$B24,IF(Calculations!$E24=COUNT(Output!$B$35:Y$35),Inputs!$B57-Calculations!$C24*(Calculations!$E24-1)+Calculations!$D24,0))</f>
        <v>0</v>
      </c>
      <c r="Z84" s="46">
        <f>SUMIF($B$13:$Y$13,"Yes",B84:Y84)</f>
        <v>0</v>
      </c>
      <c r="AA84" s="46">
        <f>SUM(B84:M84)</f>
        <v>0</v>
      </c>
      <c r="AB84" s="46">
        <f>SUM(B84:Y84)</f>
        <v>0</v>
      </c>
    </row>
    <row r="85" spans="1:30" hidden="true" outlineLevel="1">
      <c r="A85" s="187" t="s">
        <v>55</v>
      </c>
      <c r="B85" s="46">
        <f>IF(Calculations!$E25&gt;COUNT(Output!$B$35:B$35),Calculations!$B25,IF(Calculations!$E25=COUNT(Output!$B$35:B$35),Inputs!$B58-Calculations!$C25*(Calculations!$E25-1)+Calculations!$D25,0))</f>
        <v>28.81750465549349</v>
      </c>
      <c r="C85" s="46">
        <f>IF(Calculations!$E25&gt;COUNT(Output!$B$35:C$35),Calculations!$B25,IF(Calculations!$E25=COUNT(Output!$B$35:C$35),Inputs!$B58-Calculations!$C25*(Calculations!$E25-1)+Calculations!$D25,0))</f>
        <v>28.81750465549349</v>
      </c>
      <c r="D85" s="46">
        <f>IF(Calculations!$E25&gt;COUNT(Output!$B$35:D$35),Calculations!$B25,IF(Calculations!$E25=COUNT(Output!$B$35:D$35),Inputs!$B58-Calculations!$C25*(Calculations!$E25-1)+Calculations!$D25,0))</f>
        <v>28.81750465549349</v>
      </c>
      <c r="E85" s="46">
        <f>IF(Calculations!$E25&gt;COUNT(Output!$B$35:E$35),Calculations!$B25,IF(Calculations!$E25=COUNT(Output!$B$35:E$35),Inputs!$B58-Calculations!$C25*(Calculations!$E25-1)+Calculations!$D25,0))</f>
        <v>28.81750465549349</v>
      </c>
      <c r="F85" s="46">
        <f>IF(Calculations!$E25&gt;COUNT(Output!$B$35:F$35),Calculations!$B25,IF(Calculations!$E25=COUNT(Output!$B$35:F$35),Inputs!$B58-Calculations!$C25*(Calculations!$E25-1)+Calculations!$D25,0))</f>
        <v>28.81750465549349</v>
      </c>
      <c r="G85" s="46">
        <f>IF(Calculations!$E25&gt;COUNT(Output!$B$35:G$35),Calculations!$B25,IF(Calculations!$E25=COUNT(Output!$B$35:G$35),Inputs!$B58-Calculations!$C25*(Calculations!$E25-1)+Calculations!$D25,0))</f>
        <v>28.81750465549349</v>
      </c>
      <c r="H85" s="46">
        <f>IF(Calculations!$E25&gt;COUNT(Output!$B$35:H$35),Calculations!$B25,IF(Calculations!$E25=COUNT(Output!$B$35:H$35),Inputs!$B58-Calculations!$C25*(Calculations!$E25-1)+Calculations!$D25,0))</f>
        <v>28.81750465549349</v>
      </c>
      <c r="I85" s="46">
        <f>IF(Calculations!$E25&gt;COUNT(Output!$B$35:I$35),Calculations!$B25,IF(Calculations!$E25=COUNT(Output!$B$35:I$35),Inputs!$B58-Calculations!$C25*(Calculations!$E25-1)+Calculations!$D25,0))</f>
        <v>28.81750465549349</v>
      </c>
      <c r="J85" s="46">
        <f>IF(Calculations!$E25&gt;COUNT(Output!$B$35:J$35),Calculations!$B25,IF(Calculations!$E25=COUNT(Output!$B$35:J$35),Inputs!$B58-Calculations!$C25*(Calculations!$E25-1)+Calculations!$D25,0))</f>
        <v>28.81750465549349</v>
      </c>
      <c r="K85" s="46">
        <f>IF(Calculations!$E25&gt;COUNT(Output!$B$35:K$35),Calculations!$B25,IF(Calculations!$E25=COUNT(Output!$B$35:K$35),Inputs!$B58-Calculations!$C25*(Calculations!$E25-1)+Calculations!$D25,0))</f>
        <v>28.81750465549349</v>
      </c>
      <c r="L85" s="46">
        <f>IF(Calculations!$E25&gt;COUNT(Output!$B$35:L$35),Calculations!$B25,IF(Calculations!$E25=COUNT(Output!$B$35:L$35),Inputs!$B58-Calculations!$C25*(Calculations!$E25-1)+Calculations!$D25,0))</f>
        <v>28.81750465549349</v>
      </c>
      <c r="M85" s="46">
        <f>IF(Calculations!$E25&gt;COUNT(Output!$B$35:M$35),Calculations!$B25,IF(Calculations!$E25=COUNT(Output!$B$35:M$35),Inputs!$B58-Calculations!$C25*(Calculations!$E25-1)+Calculations!$D25,0))</f>
        <v>28.81750465549349</v>
      </c>
      <c r="N85" s="46">
        <f>IF(Calculations!$E25&gt;COUNT(Output!$B$35:N$35),Calculations!$B25,IF(Calculations!$E25=COUNT(Output!$B$35:N$35),Inputs!$B58-Calculations!$C25*(Calculations!$E25-1)+Calculations!$D25,0))</f>
        <v>28.81750465549349</v>
      </c>
      <c r="O85" s="46">
        <f>IF(Calculations!$E25&gt;COUNT(Output!$B$35:O$35),Calculations!$B25,IF(Calculations!$E25=COUNT(Output!$B$35:O$35),Inputs!$B58-Calculations!$C25*(Calculations!$E25-1)+Calculations!$D25,0))</f>
        <v>28.81750465549349</v>
      </c>
      <c r="P85" s="46">
        <f>IF(Calculations!$E25&gt;COUNT(Output!$B$35:P$35),Calculations!$B25,IF(Calculations!$E25=COUNT(Output!$B$35:P$35),Inputs!$B58-Calculations!$C25*(Calculations!$E25-1)+Calculations!$D25,0))</f>
        <v>28.81750465549349</v>
      </c>
      <c r="Q85" s="46">
        <f>IF(Calculations!$E25&gt;COUNT(Output!$B$35:Q$35),Calculations!$B25,IF(Calculations!$E25=COUNT(Output!$B$35:Q$35),Inputs!$B58-Calculations!$C25*(Calculations!$E25-1)+Calculations!$D25,0))</f>
        <v>28.81750465549349</v>
      </c>
      <c r="R85" s="46">
        <f>IF(Calculations!$E25&gt;COUNT(Output!$B$35:R$35),Calculations!$B25,IF(Calculations!$E25=COUNT(Output!$B$35:R$35),Inputs!$B58-Calculations!$C25*(Calculations!$E25-1)+Calculations!$D25,0))</f>
        <v>28.81750465549349</v>
      </c>
      <c r="S85" s="46">
        <f>IF(Calculations!$E25&gt;COUNT(Output!$B$35:S$35),Calculations!$B25,IF(Calculations!$E25=COUNT(Output!$B$35:S$35),Inputs!$B58-Calculations!$C25*(Calculations!$E25-1)+Calculations!$D25,0))</f>
        <v>28.81750465549349</v>
      </c>
      <c r="T85" s="46">
        <f>IF(Calculations!$E25&gt;COUNT(Output!$B$35:T$35),Calculations!$B25,IF(Calculations!$E25=COUNT(Output!$B$35:T$35),Inputs!$B58-Calculations!$C25*(Calculations!$E25-1)+Calculations!$D25,0))</f>
        <v>28.81750465549349</v>
      </c>
      <c r="U85" s="46">
        <f>IF(Calculations!$E25&gt;COUNT(Output!$B$35:U$35),Calculations!$B25,IF(Calculations!$E25=COUNT(Output!$B$35:U$35),Inputs!$B58-Calculations!$C25*(Calculations!$E25-1)+Calculations!$D25,0))</f>
        <v>28.81750465549349</v>
      </c>
      <c r="V85" s="46">
        <f>IF(Calculations!$E25&gt;COUNT(Output!$B$35:V$35),Calculations!$B25,IF(Calculations!$E25=COUNT(Output!$B$35:V$35),Inputs!$B58-Calculations!$C25*(Calculations!$E25-1)+Calculations!$D25,0))</f>
        <v>28.81750465549349</v>
      </c>
      <c r="W85" s="46">
        <f>IF(Calculations!$E25&gt;COUNT(Output!$B$35:W$35),Calculations!$B25,IF(Calculations!$E25=COUNT(Output!$B$35:W$35),Inputs!$B58-Calculations!$C25*(Calculations!$E25-1)+Calculations!$D25,0))</f>
        <v>28.81750465549349</v>
      </c>
      <c r="X85" s="46">
        <f>IF(Calculations!$E25&gt;COUNT(Output!$B$35:X$35),Calculations!$B25,IF(Calculations!$E25=COUNT(Output!$B$35:X$35),Inputs!$B58-Calculations!$C25*(Calculations!$E25-1)+Calculations!$D25,0))</f>
        <v>28.81750465549349</v>
      </c>
      <c r="Y85" s="46">
        <f>IF(Calculations!$E25&gt;COUNT(Output!$B$35:Y$35),Calculations!$B25,IF(Calculations!$E25=COUNT(Output!$B$35:Y$35),Inputs!$B58-Calculations!$C25*(Calculations!$E25-1)+Calculations!$D25,0))</f>
        <v>28.81750465549349</v>
      </c>
      <c r="Z85" s="46">
        <f>SUMIF($B$13:$Y$13,"Yes",B85:Y85)</f>
        <v>374.6275605214154</v>
      </c>
      <c r="AA85" s="46">
        <f>SUM(B85:M85)</f>
        <v>345.8100558659219</v>
      </c>
      <c r="AB85" s="46">
        <f>SUM(B85:Y85)</f>
        <v>691.620111731844</v>
      </c>
    </row>
    <row r="86" spans="1:30" hidden="true" outlineLevel="1">
      <c r="A86" s="187" t="s">
        <v>56</v>
      </c>
      <c r="B86" s="46">
        <f>IF(Calculations!$E26&gt;COUNT(Output!$B$35:B$35),Calculations!$B26,IF(Calculations!$E26=COUNT(Output!$B$35:B$35),Inputs!$B59-Calculations!$C26*(Calculations!$E26-1)+Calculations!$D26,0))</f>
        <v>0</v>
      </c>
      <c r="C86" s="46">
        <f>IF(Calculations!$E26&gt;COUNT(Output!$B$35:C$35),Calculations!$B26,IF(Calculations!$E26=COUNT(Output!$B$35:C$35),Inputs!$B59-Calculations!$C26*(Calculations!$E26-1)+Calculations!$D26,0))</f>
        <v>0</v>
      </c>
      <c r="D86" s="46">
        <f>IF(Calculations!$E26&gt;COUNT(Output!$B$35:D$35),Calculations!$B26,IF(Calculations!$E26=COUNT(Output!$B$35:D$35),Inputs!$B59-Calculations!$C26*(Calculations!$E26-1)+Calculations!$D26,0))</f>
        <v>0</v>
      </c>
      <c r="E86" s="46">
        <f>IF(Calculations!$E26&gt;COUNT(Output!$B$35:E$35),Calculations!$B26,IF(Calculations!$E26=COUNT(Output!$B$35:E$35),Inputs!$B59-Calculations!$C26*(Calculations!$E26-1)+Calculations!$D26,0))</f>
        <v>0</v>
      </c>
      <c r="F86" s="46">
        <f>IF(Calculations!$E26&gt;COUNT(Output!$B$35:F$35),Calculations!$B26,IF(Calculations!$E26=COUNT(Output!$B$35:F$35),Inputs!$B59-Calculations!$C26*(Calculations!$E26-1)+Calculations!$D26,0))</f>
        <v>0</v>
      </c>
      <c r="G86" s="46">
        <f>IF(Calculations!$E26&gt;COUNT(Output!$B$35:G$35),Calculations!$B26,IF(Calculations!$E26=COUNT(Output!$B$35:G$35),Inputs!$B59-Calculations!$C26*(Calculations!$E26-1)+Calculations!$D26,0))</f>
        <v>0</v>
      </c>
      <c r="H86" s="46">
        <f>IF(Calculations!$E26&gt;COUNT(Output!$B$35:H$35),Calculations!$B26,IF(Calculations!$E26=COUNT(Output!$B$35:H$35),Inputs!$B59-Calculations!$C26*(Calculations!$E26-1)+Calculations!$D26,0))</f>
        <v>0</v>
      </c>
      <c r="I86" s="46">
        <f>IF(Calculations!$E26&gt;COUNT(Output!$B$35:I$35),Calculations!$B26,IF(Calculations!$E26=COUNT(Output!$B$35:I$35),Inputs!$B59-Calculations!$C26*(Calculations!$E26-1)+Calculations!$D26,0))</f>
        <v>0</v>
      </c>
      <c r="J86" s="46">
        <f>IF(Calculations!$E26&gt;COUNT(Output!$B$35:J$35),Calculations!$B26,IF(Calculations!$E26=COUNT(Output!$B$35:J$35),Inputs!$B59-Calculations!$C26*(Calculations!$E26-1)+Calculations!$D26,0))</f>
        <v>0</v>
      </c>
      <c r="K86" s="46">
        <f>IF(Calculations!$E26&gt;COUNT(Output!$B$35:K$35),Calculations!$B26,IF(Calculations!$E26=COUNT(Output!$B$35:K$35),Inputs!$B59-Calculations!$C26*(Calculations!$E26-1)+Calculations!$D26,0))</f>
        <v>0</v>
      </c>
      <c r="L86" s="46">
        <f>IF(Calculations!$E26&gt;COUNT(Output!$B$35:L$35),Calculations!$B26,IF(Calculations!$E26=COUNT(Output!$B$35:L$35),Inputs!$B59-Calculations!$C26*(Calculations!$E26-1)+Calculations!$D26,0))</f>
        <v>0</v>
      </c>
      <c r="M86" s="46">
        <f>IF(Calculations!$E26&gt;COUNT(Output!$B$35:M$35),Calculations!$B26,IF(Calculations!$E26=COUNT(Output!$B$35:M$35),Inputs!$B59-Calculations!$C26*(Calculations!$E26-1)+Calculations!$D26,0))</f>
        <v>0</v>
      </c>
      <c r="N86" s="46">
        <f>IF(Calculations!$E26&gt;COUNT(Output!$B$35:N$35),Calculations!$B26,IF(Calculations!$E26=COUNT(Output!$B$35:N$35),Inputs!$B59-Calculations!$C26*(Calculations!$E26-1)+Calculations!$D26,0))</f>
        <v>0</v>
      </c>
      <c r="O86" s="46">
        <f>IF(Calculations!$E26&gt;COUNT(Output!$B$35:O$35),Calculations!$B26,IF(Calculations!$E26=COUNT(Output!$B$35:O$35),Inputs!$B59-Calculations!$C26*(Calculations!$E26-1)+Calculations!$D26,0))</f>
        <v>0</v>
      </c>
      <c r="P86" s="46">
        <f>IF(Calculations!$E26&gt;COUNT(Output!$B$35:P$35),Calculations!$B26,IF(Calculations!$E26=COUNT(Output!$B$35:P$35),Inputs!$B59-Calculations!$C26*(Calculations!$E26-1)+Calculations!$D26,0))</f>
        <v>0</v>
      </c>
      <c r="Q86" s="46">
        <f>IF(Calculations!$E26&gt;COUNT(Output!$B$35:Q$35),Calculations!$B26,IF(Calculations!$E26=COUNT(Output!$B$35:Q$35),Inputs!$B59-Calculations!$C26*(Calculations!$E26-1)+Calculations!$D26,0))</f>
        <v>0</v>
      </c>
      <c r="R86" s="46">
        <f>IF(Calculations!$E26&gt;COUNT(Output!$B$35:R$35),Calculations!$B26,IF(Calculations!$E26=COUNT(Output!$B$35:R$35),Inputs!$B59-Calculations!$C26*(Calculations!$E26-1)+Calculations!$D26,0))</f>
        <v>0</v>
      </c>
      <c r="S86" s="46">
        <f>IF(Calculations!$E26&gt;COUNT(Output!$B$35:S$35),Calculations!$B26,IF(Calculations!$E26=COUNT(Output!$B$35:S$35),Inputs!$B59-Calculations!$C26*(Calculations!$E26-1)+Calculations!$D26,0))</f>
        <v>0</v>
      </c>
      <c r="T86" s="46">
        <f>IF(Calculations!$E26&gt;COUNT(Output!$B$35:T$35),Calculations!$B26,IF(Calculations!$E26=COUNT(Output!$B$35:T$35),Inputs!$B59-Calculations!$C26*(Calculations!$E26-1)+Calculations!$D26,0))</f>
        <v>0</v>
      </c>
      <c r="U86" s="46">
        <f>IF(Calculations!$E26&gt;COUNT(Output!$B$35:U$35),Calculations!$B26,IF(Calculations!$E26=COUNT(Output!$B$35:U$35),Inputs!$B59-Calculations!$C26*(Calculations!$E26-1)+Calculations!$D26,0))</f>
        <v>0</v>
      </c>
      <c r="V86" s="46">
        <f>IF(Calculations!$E26&gt;COUNT(Output!$B$35:V$35),Calculations!$B26,IF(Calculations!$E26=COUNT(Output!$B$35:V$35),Inputs!$B59-Calculations!$C26*(Calculations!$E26-1)+Calculations!$D26,0))</f>
        <v>0</v>
      </c>
      <c r="W86" s="46">
        <f>IF(Calculations!$E26&gt;COUNT(Output!$B$35:W$35),Calculations!$B26,IF(Calculations!$E26=COUNT(Output!$B$35:W$35),Inputs!$B59-Calculations!$C26*(Calculations!$E26-1)+Calculations!$D26,0))</f>
        <v>0</v>
      </c>
      <c r="X86" s="46">
        <f>IF(Calculations!$E26&gt;COUNT(Output!$B$35:X$35),Calculations!$B26,IF(Calculations!$E26=COUNT(Output!$B$35:X$35),Inputs!$B59-Calculations!$C26*(Calculations!$E26-1)+Calculations!$D26,0))</f>
        <v>0</v>
      </c>
      <c r="Y86" s="46">
        <f>IF(Calculations!$E26&gt;COUNT(Output!$B$35:Y$35),Calculations!$B26,IF(Calculations!$E26=COUNT(Output!$B$35:Y$35),Inputs!$B59-Calculations!$C26*(Calculations!$E26-1)+Calculations!$D26,0))</f>
        <v>0</v>
      </c>
      <c r="Z86" s="46">
        <f>SUMIF($B$13:$Y$13,"Yes",B86:Y86)</f>
        <v>0</v>
      </c>
      <c r="AA86" s="46">
        <f>SUM(B86:M86)</f>
        <v>0</v>
      </c>
      <c r="AB86" s="46">
        <f>SUM(B86:Y86)</f>
        <v>0</v>
      </c>
    </row>
    <row r="87" spans="1:30" customHeight="1" ht="15.75" hidden="true" outlineLevel="1">
      <c r="A87" s="188" t="s">
        <v>57</v>
      </c>
      <c r="B87" s="37">
        <f>IF(Calculations!$E27&gt;COUNT(Output!$B$35:B$35),Calculations!$B27,IF(Calculations!$E27=COUNT(Output!$B$35:B$35),Inputs!$B60-Calculations!$C27*(Calculations!$E27-1)+Calculations!$D27,0))</f>
        <v>0</v>
      </c>
      <c r="C87" s="37">
        <f>IF(Calculations!$E27&gt;COUNT(Output!$B$35:C$35),Calculations!$B27,IF(Calculations!$E27=COUNT(Output!$B$35:C$35),Inputs!$B60-Calculations!$C27*(Calculations!$E27-1)+Calculations!$D27,0))</f>
        <v>0</v>
      </c>
      <c r="D87" s="37">
        <f>IF(Calculations!$E27&gt;COUNT(Output!$B$35:D$35),Calculations!$B27,IF(Calculations!$E27=COUNT(Output!$B$35:D$35),Inputs!$B60-Calculations!$C27*(Calculations!$E27-1)+Calculations!$D27,0))</f>
        <v>0</v>
      </c>
      <c r="E87" s="37">
        <f>IF(Calculations!$E27&gt;COUNT(Output!$B$35:E$35),Calculations!$B27,IF(Calculations!$E27=COUNT(Output!$B$35:E$35),Inputs!$B60-Calculations!$C27*(Calculations!$E27-1)+Calculations!$D27,0))</f>
        <v>0</v>
      </c>
      <c r="F87" s="37">
        <f>IF(Calculations!$E27&gt;COUNT(Output!$B$35:F$35),Calculations!$B27,IF(Calculations!$E27=COUNT(Output!$B$35:F$35),Inputs!$B60-Calculations!$C27*(Calculations!$E27-1)+Calculations!$D27,0))</f>
        <v>0</v>
      </c>
      <c r="G87" s="37">
        <f>IF(Calculations!$E27&gt;COUNT(Output!$B$35:G$35),Calculations!$B27,IF(Calculations!$E27=COUNT(Output!$B$35:G$35),Inputs!$B60-Calculations!$C27*(Calculations!$E27-1)+Calculations!$D27,0))</f>
        <v>0</v>
      </c>
      <c r="H87" s="37">
        <f>IF(Calculations!$E27&gt;COUNT(Output!$B$35:H$35),Calculations!$B27,IF(Calculations!$E27=COUNT(Output!$B$35:H$35),Inputs!$B60-Calculations!$C27*(Calculations!$E27-1)+Calculations!$D27,0))</f>
        <v>0</v>
      </c>
      <c r="I87" s="37">
        <f>IF(Calculations!$E27&gt;COUNT(Output!$B$35:I$35),Calculations!$B27,IF(Calculations!$E27=COUNT(Output!$B$35:I$35),Inputs!$B60-Calculations!$C27*(Calculations!$E27-1)+Calculations!$D27,0))</f>
        <v>0</v>
      </c>
      <c r="J87" s="37">
        <f>IF(Calculations!$E27&gt;COUNT(Output!$B$35:J$35),Calculations!$B27,IF(Calculations!$E27=COUNT(Output!$B$35:J$35),Inputs!$B60-Calculations!$C27*(Calculations!$E27-1)+Calculations!$D27,0))</f>
        <v>0</v>
      </c>
      <c r="K87" s="37">
        <f>IF(Calculations!$E27&gt;COUNT(Output!$B$35:K$35),Calculations!$B27,IF(Calculations!$E27=COUNT(Output!$B$35:K$35),Inputs!$B60-Calculations!$C27*(Calculations!$E27-1)+Calculations!$D27,0))</f>
        <v>0</v>
      </c>
      <c r="L87" s="37">
        <f>IF(Calculations!$E27&gt;COUNT(Output!$B$35:L$35),Calculations!$B27,IF(Calculations!$E27=COUNT(Output!$B$35:L$35),Inputs!$B60-Calculations!$C27*(Calculations!$E27-1)+Calculations!$D27,0))</f>
        <v>0</v>
      </c>
      <c r="M87" s="37">
        <f>IF(Calculations!$E27&gt;COUNT(Output!$B$35:M$35),Calculations!$B27,IF(Calculations!$E27=COUNT(Output!$B$35:M$35),Inputs!$B60-Calculations!$C27*(Calculations!$E27-1)+Calculations!$D27,0))</f>
        <v>0</v>
      </c>
      <c r="N87" s="37">
        <f>IF(Calculations!$E27&gt;COUNT(Output!$B$35:N$35),Calculations!$B27,IF(Calculations!$E27=COUNT(Output!$B$35:N$35),Inputs!$B60-Calculations!$C27*(Calculations!$E27-1)+Calculations!$D27,0))</f>
        <v>0</v>
      </c>
      <c r="O87" s="37">
        <f>IF(Calculations!$E27&gt;COUNT(Output!$B$35:O$35),Calculations!$B27,IF(Calculations!$E27=COUNT(Output!$B$35:O$35),Inputs!$B60-Calculations!$C27*(Calculations!$E27-1)+Calculations!$D27,0))</f>
        <v>0</v>
      </c>
      <c r="P87" s="37">
        <f>IF(Calculations!$E27&gt;COUNT(Output!$B$35:P$35),Calculations!$B27,IF(Calculations!$E27=COUNT(Output!$B$35:P$35),Inputs!$B60-Calculations!$C27*(Calculations!$E27-1)+Calculations!$D27,0))</f>
        <v>0</v>
      </c>
      <c r="Q87" s="37">
        <f>IF(Calculations!$E27&gt;COUNT(Output!$B$35:Q$35),Calculations!$B27,IF(Calculations!$E27=COUNT(Output!$B$35:Q$35),Inputs!$B60-Calculations!$C27*(Calculations!$E27-1)+Calculations!$D27,0))</f>
        <v>0</v>
      </c>
      <c r="R87" s="37">
        <f>IF(Calculations!$E27&gt;COUNT(Output!$B$35:R$35),Calculations!$B27,IF(Calculations!$E27=COUNT(Output!$B$35:R$35),Inputs!$B60-Calculations!$C27*(Calculations!$E27-1)+Calculations!$D27,0))</f>
        <v>0</v>
      </c>
      <c r="S87" s="37">
        <f>IF(Calculations!$E27&gt;COUNT(Output!$B$35:S$35),Calculations!$B27,IF(Calculations!$E27=COUNT(Output!$B$35:S$35),Inputs!$B60-Calculations!$C27*(Calculations!$E27-1)+Calculations!$D27,0))</f>
        <v>0</v>
      </c>
      <c r="T87" s="37">
        <f>IF(Calculations!$E27&gt;COUNT(Output!$B$35:T$35),Calculations!$B27,IF(Calculations!$E27=COUNT(Output!$B$35:T$35),Inputs!$B60-Calculations!$C27*(Calculations!$E27-1)+Calculations!$D27,0))</f>
        <v>0</v>
      </c>
      <c r="U87" s="37">
        <f>IF(Calculations!$E27&gt;COUNT(Output!$B$35:U$35),Calculations!$B27,IF(Calculations!$E27=COUNT(Output!$B$35:U$35),Inputs!$B60-Calculations!$C27*(Calculations!$E27-1)+Calculations!$D27,0))</f>
        <v>0</v>
      </c>
      <c r="V87" s="37">
        <f>IF(Calculations!$E27&gt;COUNT(Output!$B$35:V$35),Calculations!$B27,IF(Calculations!$E27=COUNT(Output!$B$35:V$35),Inputs!$B60-Calculations!$C27*(Calculations!$E27-1)+Calculations!$D27,0))</f>
        <v>0</v>
      </c>
      <c r="W87" s="37">
        <f>IF(Calculations!$E27&gt;COUNT(Output!$B$35:W$35),Calculations!$B27,IF(Calculations!$E27=COUNT(Output!$B$35:W$35),Inputs!$B60-Calculations!$C27*(Calculations!$E27-1)+Calculations!$D27,0))</f>
        <v>0</v>
      </c>
      <c r="X87" s="37">
        <f>IF(Calculations!$E27&gt;COUNT(Output!$B$35:X$35),Calculations!$B27,IF(Calculations!$E27=COUNT(Output!$B$35:X$35),Inputs!$B60-Calculations!$C27*(Calculations!$E27-1)+Calculations!$D27,0))</f>
        <v>0</v>
      </c>
      <c r="Y87" s="37">
        <f>IF(Calculations!$E27&gt;COUNT(Output!$B$35:Y$35),Calculations!$B27,IF(Calculations!$E27=COUNT(Output!$B$35:Y$35),Inputs!$B60-Calculations!$C27*(Calculations!$E27-1)+Calculations!$D27,0))</f>
        <v>0</v>
      </c>
      <c r="Z87" s="37">
        <f>SUMIF($B$13:$Y$13,"Yes",B87:Y87)</f>
        <v>0</v>
      </c>
      <c r="AA87" s="37">
        <f>SUM(B87:M87)</f>
        <v>0</v>
      </c>
      <c r="AB87" s="37">
        <f>SUM(B87:Y87)</f>
        <v>0</v>
      </c>
    </row>
    <row r="88" spans="1:30" collapsed="true">
      <c r="A88" s="1" t="s">
        <v>37</v>
      </c>
      <c r="B88" s="19">
        <f>SUM(B72:B82,B66,B60,B54,B48,B42,B36)</f>
        <v>15422.75215798883</v>
      </c>
      <c r="C88" s="19">
        <f>SUM(C72:C82,C66,C60,C54,C48,C42,C36)</f>
        <v>22669.75215798883</v>
      </c>
      <c r="D88" s="19">
        <f>SUM(D72:D82,D66,D60,D54,D48,D42,D36)</f>
        <v>18366.75215798883</v>
      </c>
      <c r="E88" s="19">
        <f>SUM(E72:E82,E66,E60,E54,E48,E42,E36)</f>
        <v>18366.75215798883</v>
      </c>
      <c r="F88" s="19">
        <f>SUM(F72:F82,F66,F60,F54,F48,F42,F36)</f>
        <v>18366.75215798883</v>
      </c>
      <c r="G88" s="19">
        <f>SUM(G72:G82,G66,G60,G54,G48,G42,G36)</f>
        <v>18366.75215798883</v>
      </c>
      <c r="H88" s="19">
        <f>SUM(H72:H82,H66,H60,H54,H48,H42,H36)</f>
        <v>15422.75215798883</v>
      </c>
      <c r="I88" s="19">
        <f>SUM(I72:I82,I66,I60,I54,I48,I42,I36)</f>
        <v>20669.75215798883</v>
      </c>
      <c r="J88" s="19">
        <f>SUM(J72:J82,J66,J60,J54,J48,J42,J36)</f>
        <v>18366.75215798883</v>
      </c>
      <c r="K88" s="19">
        <f>SUM(K72:K82,K66,K60,K54,K48,K42,K36)</f>
        <v>18366.75215798883</v>
      </c>
      <c r="L88" s="19">
        <f>SUM(L72:L82,L66,L60,L54,L48,L42,L36)</f>
        <v>18366.75215798883</v>
      </c>
      <c r="M88" s="19">
        <f>SUM(M72:M82,M66,M60,M54,M48,M42,M36)</f>
        <v>18366.75215798883</v>
      </c>
      <c r="N88" s="19">
        <f>SUM(N72:N82,N66,N60,N54,N48,N42,N36)</f>
        <v>15422.75215798883</v>
      </c>
      <c r="O88" s="19">
        <f>SUM(O72:O82,O66,O60,O54,O48,O42,O36)</f>
        <v>22669.75215798883</v>
      </c>
      <c r="P88" s="19">
        <f>SUM(P72:P82,P66,P60,P54,P48,P42,P36)</f>
        <v>18366.75215798883</v>
      </c>
      <c r="Q88" s="19">
        <f>SUM(Q72:Q82,Q66,Q60,Q54,Q48,Q42,Q36)</f>
        <v>18366.75215798883</v>
      </c>
      <c r="R88" s="19">
        <f>SUM(R72:R82,R66,R60,R54,R48,R42,R36)</f>
        <v>18366.75215798883</v>
      </c>
      <c r="S88" s="19">
        <f>SUM(S72:S82,S66,S60,S54,S48,S42,S36)</f>
        <v>18366.75215798883</v>
      </c>
      <c r="T88" s="19">
        <f>SUM(T72:T82,T66,T60,T54,T48,T42,T36)</f>
        <v>15422.75215798883</v>
      </c>
      <c r="U88" s="19">
        <f>SUM(U72:U82,U66,U60,U54,U48,U42,U36)</f>
        <v>20669.75215798883</v>
      </c>
      <c r="V88" s="19">
        <f>SUM(V72:V82,V66,V60,V54,V48,V42,V36)</f>
        <v>18366.75215798883</v>
      </c>
      <c r="W88" s="19">
        <f>SUM(W72:W82,W66,W60,W54,W48,W42,W36)</f>
        <v>18366.75215798883</v>
      </c>
      <c r="X88" s="19">
        <f>SUM(X72:X82,X66,X60,X54,X48,X42,X36)</f>
        <v>18366.75215798883</v>
      </c>
      <c r="Y88" s="19">
        <f>SUM(Y72:Y82,Y66,Y60,Y54,Y48,Y42,Y36)</f>
        <v>18366.75215798883</v>
      </c>
      <c r="Z88" s="19">
        <f>SUMIF($B$13:$Y$13,"Yes",B88:Y88)</f>
        <v>236541.7780538548</v>
      </c>
      <c r="AA88" s="19">
        <f>SUM(B88:M88)</f>
        <v>221119.025895866</v>
      </c>
      <c r="AB88" s="19">
        <f>SUM(B88:Y88)</f>
        <v>442238.051791732</v>
      </c>
    </row>
    <row r="89" spans="1:30"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</row>
    <row r="90" spans="1:30">
      <c r="B90" s="76"/>
      <c r="C90" s="77"/>
      <c r="D90" s="77"/>
      <c r="E90" s="77"/>
      <c r="F90" s="77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</row>
    <row r="91" spans="1:30">
      <c r="A91" s="3" t="s">
        <v>58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  <c r="AC91" s="9"/>
      <c r="AD91" s="4"/>
    </row>
    <row r="93" spans="1:30">
      <c r="A93" s="5" t="s">
        <v>59</v>
      </c>
      <c r="B93" s="5"/>
    </row>
    <row r="94" spans="1:30">
      <c r="A94" t="s">
        <v>60</v>
      </c>
      <c r="B94" s="36">
        <f>Inputs!B49</f>
        <v>30000</v>
      </c>
    </row>
    <row r="95" spans="1:30">
      <c r="A95" t="s">
        <v>61</v>
      </c>
      <c r="B95" s="36">
        <f>Inputs!B47</f>
        <v>250000</v>
      </c>
    </row>
    <row r="96" spans="1:30">
      <c r="A96" t="s">
        <v>62</v>
      </c>
      <c r="B96" s="36">
        <f>SUMPRODUCT(Inputs!C19:C21,Calculations!O14:O16)</f>
        <v>110000</v>
      </c>
    </row>
    <row r="97" spans="1:30">
      <c r="A97" t="s">
        <v>63</v>
      </c>
      <c r="B97" s="36">
        <f>IF(Inputs!B40="Yes",SUM(Inputs!C7:C11)*INDEX(Parameters!$H$54:$I$71,MATCH(Calculations!$J$32,Parameters!$B$54:$B$71,0),MATCH(Inputs!$B$43,Parameters!$H$52:$I$52,0)),0)</f>
        <v>600000</v>
      </c>
    </row>
    <row r="98" spans="1:30">
      <c r="A98" t="s">
        <v>64</v>
      </c>
      <c r="B98" s="36">
        <f>IF(Inputs!B44="Yes",Inputs!B45,0)</f>
        <v>850000</v>
      </c>
    </row>
    <row r="99" spans="1:30">
      <c r="A99" t="s">
        <v>65</v>
      </c>
      <c r="B99" s="36">
        <f>Inputs!B46</f>
        <v>150000</v>
      </c>
    </row>
    <row r="100" spans="1:30" customHeight="1" ht="15.75">
      <c r="A100" s="18" t="s">
        <v>66</v>
      </c>
      <c r="B100" s="37">
        <f>Inputs!B48</f>
        <v>2000000</v>
      </c>
    </row>
    <row r="101" spans="1:30" customHeight="1" ht="15.75">
      <c r="A101" s="1" t="s">
        <v>67</v>
      </c>
      <c r="B101" s="19">
        <f>SUM(B94:B100)</f>
        <v>3990000</v>
      </c>
    </row>
    <row r="103" spans="1:30">
      <c r="A103" s="5" t="s">
        <v>68</v>
      </c>
      <c r="B103" s="5"/>
    </row>
    <row r="104" spans="1:30">
      <c r="A104" t="s">
        <v>69</v>
      </c>
      <c r="B104" s="36">
        <f>Inputs!B51</f>
        <v>10000</v>
      </c>
    </row>
    <row r="105" spans="1:30">
      <c r="A105" t="s">
        <v>70</v>
      </c>
      <c r="B105" s="36">
        <f>SUM(Inputs!B56:B60)</f>
        <v>5375</v>
      </c>
    </row>
    <row r="106" spans="1:30" customHeight="1" ht="15.75">
      <c r="A106" s="18" t="s">
        <v>71</v>
      </c>
      <c r="B106" s="37">
        <f>Calculations!G35</f>
        <v>100000</v>
      </c>
    </row>
    <row r="107" spans="1:30" customHeight="1" ht="15.75">
      <c r="A107" s="1" t="s">
        <v>72</v>
      </c>
      <c r="B107" s="19">
        <f>SUM(B104:B106)</f>
        <v>115375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6">
    <cfRule type="cellIs" dxfId="1" priority="1" operator="lessThan">
      <formula>0</formula>
    </cfRule>
  </conditionalFormatting>
  <conditionalFormatting sqref="C6">
    <cfRule type="cellIs" dxfId="1" priority="2" operator="lessThan">
      <formula>0</formula>
    </cfRule>
  </conditionalFormatting>
  <conditionalFormatting sqref="D6">
    <cfRule type="cellIs" dxfId="1" priority="3" operator="lessThan">
      <formula>0</formula>
    </cfRule>
  </conditionalFormatting>
  <conditionalFormatting sqref="E6">
    <cfRule type="cellIs" dxfId="1" priority="4" operator="lessThan">
      <formula>0</formula>
    </cfRule>
  </conditionalFormatting>
  <conditionalFormatting sqref="F6">
    <cfRule type="cellIs" dxfId="1" priority="5" operator="lessThan">
      <formula>0</formula>
    </cfRule>
  </conditionalFormatting>
  <conditionalFormatting sqref="G6">
    <cfRule type="cellIs" dxfId="1" priority="6" operator="lessThan">
      <formula>0</formula>
    </cfRule>
  </conditionalFormatting>
  <conditionalFormatting sqref="H6">
    <cfRule type="cellIs" dxfId="1" priority="7" operator="lessThan">
      <formula>0</formula>
    </cfRule>
  </conditionalFormatting>
  <conditionalFormatting sqref="I6">
    <cfRule type="cellIs" dxfId="1" priority="8" operator="lessThan">
      <formula>0</formula>
    </cfRule>
  </conditionalFormatting>
  <conditionalFormatting sqref="J6">
    <cfRule type="cellIs" dxfId="1" priority="9" operator="lessThan">
      <formula>0</formula>
    </cfRule>
  </conditionalFormatting>
  <conditionalFormatting sqref="K6">
    <cfRule type="cellIs" dxfId="1" priority="10" operator="lessThan">
      <formula>0</formula>
    </cfRule>
  </conditionalFormatting>
  <conditionalFormatting sqref="L6">
    <cfRule type="cellIs" dxfId="1" priority="11" operator="lessThan">
      <formula>0</formula>
    </cfRule>
  </conditionalFormatting>
  <conditionalFormatting sqref="M6">
    <cfRule type="cellIs" dxfId="1" priority="12" operator="lessThan">
      <formula>0</formula>
    </cfRule>
  </conditionalFormatting>
  <conditionalFormatting sqref="N6">
    <cfRule type="cellIs" dxfId="1" priority="13" operator="lessThan">
      <formula>0</formula>
    </cfRule>
  </conditionalFormatting>
  <conditionalFormatting sqref="O6">
    <cfRule type="cellIs" dxfId="1" priority="14" operator="lessThan">
      <formula>0</formula>
    </cfRule>
  </conditionalFormatting>
  <conditionalFormatting sqref="P6">
    <cfRule type="cellIs" dxfId="1" priority="15" operator="lessThan">
      <formula>0</formula>
    </cfRule>
  </conditionalFormatting>
  <conditionalFormatting sqref="Q6">
    <cfRule type="cellIs" dxfId="1" priority="16" operator="lessThan">
      <formula>0</formula>
    </cfRule>
  </conditionalFormatting>
  <conditionalFormatting sqref="R6">
    <cfRule type="cellIs" dxfId="1" priority="17" operator="lessThan">
      <formula>0</formula>
    </cfRule>
  </conditionalFormatting>
  <conditionalFormatting sqref="S6">
    <cfRule type="cellIs" dxfId="1" priority="18" operator="lessThan">
      <formula>0</formula>
    </cfRule>
  </conditionalFormatting>
  <conditionalFormatting sqref="Z6">
    <cfRule type="cellIs" dxfId="1" priority="19" operator="lessThan">
      <formula>0</formula>
    </cfRule>
  </conditionalFormatting>
  <conditionalFormatting sqref="AA6">
    <cfRule type="cellIs" dxfId="1" priority="20" operator="lessThan">
      <formula>0</formula>
    </cfRule>
  </conditionalFormatting>
  <conditionalFormatting sqref="AB6">
    <cfRule type="cellIs" dxfId="1" priority="21" operator="lessThan">
      <formula>0</formula>
    </cfRule>
  </conditionalFormatting>
  <conditionalFormatting sqref="B7">
    <cfRule type="cellIs" dxfId="1" priority="22" operator="lessThan">
      <formula>0</formula>
    </cfRule>
  </conditionalFormatting>
  <conditionalFormatting sqref="C7">
    <cfRule type="cellIs" dxfId="1" priority="23" operator="lessThan">
      <formula>0</formula>
    </cfRule>
  </conditionalFormatting>
  <conditionalFormatting sqref="D7">
    <cfRule type="cellIs" dxfId="1" priority="24" operator="lessThan">
      <formula>0</formula>
    </cfRule>
  </conditionalFormatting>
  <conditionalFormatting sqref="E7">
    <cfRule type="cellIs" dxfId="1" priority="25" operator="lessThan">
      <formula>0</formula>
    </cfRule>
  </conditionalFormatting>
  <conditionalFormatting sqref="F7">
    <cfRule type="cellIs" dxfId="1" priority="26" operator="lessThan">
      <formula>0</formula>
    </cfRule>
  </conditionalFormatting>
  <conditionalFormatting sqref="G7">
    <cfRule type="cellIs" dxfId="1" priority="27" operator="lessThan">
      <formula>0</formula>
    </cfRule>
  </conditionalFormatting>
  <conditionalFormatting sqref="H7">
    <cfRule type="cellIs" dxfId="1" priority="28" operator="lessThan">
      <formula>0</formula>
    </cfRule>
  </conditionalFormatting>
  <conditionalFormatting sqref="I7">
    <cfRule type="cellIs" dxfId="1" priority="29" operator="lessThan">
      <formula>0</formula>
    </cfRule>
  </conditionalFormatting>
  <conditionalFormatting sqref="J7">
    <cfRule type="cellIs" dxfId="1" priority="30" operator="lessThan">
      <formula>0</formula>
    </cfRule>
  </conditionalFormatting>
  <conditionalFormatting sqref="K7">
    <cfRule type="cellIs" dxfId="1" priority="31" operator="lessThan">
      <formula>0</formula>
    </cfRule>
  </conditionalFormatting>
  <conditionalFormatting sqref="L7">
    <cfRule type="cellIs" dxfId="1" priority="32" operator="lessThan">
      <formula>0</formula>
    </cfRule>
  </conditionalFormatting>
  <conditionalFormatting sqref="M7">
    <cfRule type="cellIs" dxfId="1" priority="33" operator="lessThan">
      <formula>0</formula>
    </cfRule>
  </conditionalFormatting>
  <conditionalFormatting sqref="N7">
    <cfRule type="cellIs" dxfId="1" priority="34" operator="lessThan">
      <formula>0</formula>
    </cfRule>
  </conditionalFormatting>
  <conditionalFormatting sqref="O7">
    <cfRule type="cellIs" dxfId="1" priority="35" operator="lessThan">
      <formula>0</formula>
    </cfRule>
  </conditionalFormatting>
  <conditionalFormatting sqref="P7">
    <cfRule type="cellIs" dxfId="1" priority="36" operator="lessThan">
      <formula>0</formula>
    </cfRule>
  </conditionalFormatting>
  <conditionalFormatting sqref="Q7">
    <cfRule type="cellIs" dxfId="1" priority="37" operator="lessThan">
      <formula>0</formula>
    </cfRule>
  </conditionalFormatting>
  <conditionalFormatting sqref="R7">
    <cfRule type="cellIs" dxfId="1" priority="38" operator="lessThan">
      <formula>0</formula>
    </cfRule>
  </conditionalFormatting>
  <conditionalFormatting sqref="S7">
    <cfRule type="cellIs" dxfId="1" priority="39" operator="lessThan">
      <formula>0</formula>
    </cfRule>
  </conditionalFormatting>
  <conditionalFormatting sqref="T7">
    <cfRule type="cellIs" dxfId="1" priority="40" operator="lessThan">
      <formula>0</formula>
    </cfRule>
  </conditionalFormatting>
  <conditionalFormatting sqref="U7">
    <cfRule type="cellIs" dxfId="1" priority="41" operator="lessThan">
      <formula>0</formula>
    </cfRule>
  </conditionalFormatting>
  <conditionalFormatting sqref="V7">
    <cfRule type="cellIs" dxfId="1" priority="42" operator="lessThan">
      <formula>0</formula>
    </cfRule>
  </conditionalFormatting>
  <conditionalFormatting sqref="W7">
    <cfRule type="cellIs" dxfId="1" priority="43" operator="lessThan">
      <formula>0</formula>
    </cfRule>
  </conditionalFormatting>
  <conditionalFormatting sqref="X7">
    <cfRule type="cellIs" dxfId="1" priority="44" operator="lessThan">
      <formula>0</formula>
    </cfRule>
  </conditionalFormatting>
  <conditionalFormatting sqref="Y7">
    <cfRule type="cellIs" dxfId="1" priority="45" operator="lessThan">
      <formula>0</formula>
    </cfRule>
  </conditionalFormatting>
  <conditionalFormatting sqref="Z7">
    <cfRule type="cellIs" dxfId="1" priority="46" operator="lessThan">
      <formula>0</formula>
    </cfRule>
  </conditionalFormatting>
  <conditionalFormatting sqref="AA7">
    <cfRule type="cellIs" dxfId="1" priority="47" operator="lessThan">
      <formula>0</formula>
    </cfRule>
  </conditionalFormatting>
  <conditionalFormatting sqref="AB7">
    <cfRule type="cellIs" dxfId="1" priority="48" operator="lessThan">
      <formula>0</formula>
    </cfRule>
  </conditionalFormatting>
  <conditionalFormatting sqref="B11">
    <cfRule type="cellIs" dxfId="1" priority="49" operator="lessThan">
      <formula>0</formula>
    </cfRule>
  </conditionalFormatting>
  <conditionalFormatting sqref="C11">
    <cfRule type="cellIs" dxfId="1" priority="50" operator="lessThan">
      <formula>0</formula>
    </cfRule>
  </conditionalFormatting>
  <conditionalFormatting sqref="D11">
    <cfRule type="cellIs" dxfId="1" priority="51" operator="lessThan">
      <formula>0</formula>
    </cfRule>
  </conditionalFormatting>
  <conditionalFormatting sqref="E11">
    <cfRule type="cellIs" dxfId="1" priority="52" operator="lessThan">
      <formula>0</formula>
    </cfRule>
  </conditionalFormatting>
  <conditionalFormatting sqref="F11">
    <cfRule type="cellIs" dxfId="1" priority="53" operator="lessThan">
      <formula>0</formula>
    </cfRule>
  </conditionalFormatting>
  <conditionalFormatting sqref="G11">
    <cfRule type="cellIs" dxfId="1" priority="54" operator="lessThan">
      <formula>0</formula>
    </cfRule>
  </conditionalFormatting>
  <conditionalFormatting sqref="H11">
    <cfRule type="cellIs" dxfId="1" priority="55" operator="lessThan">
      <formula>0</formula>
    </cfRule>
  </conditionalFormatting>
  <conditionalFormatting sqref="I11">
    <cfRule type="cellIs" dxfId="1" priority="56" operator="lessThan">
      <formula>0</formula>
    </cfRule>
  </conditionalFormatting>
  <conditionalFormatting sqref="J11">
    <cfRule type="cellIs" dxfId="1" priority="57" operator="lessThan">
      <formula>0</formula>
    </cfRule>
  </conditionalFormatting>
  <conditionalFormatting sqref="K11">
    <cfRule type="cellIs" dxfId="1" priority="58" operator="lessThan">
      <formula>0</formula>
    </cfRule>
  </conditionalFormatting>
  <conditionalFormatting sqref="L11">
    <cfRule type="cellIs" dxfId="1" priority="59" operator="lessThan">
      <formula>0</formula>
    </cfRule>
  </conditionalFormatting>
  <conditionalFormatting sqref="M11">
    <cfRule type="cellIs" dxfId="1" priority="60" operator="lessThan">
      <formula>0</formula>
    </cfRule>
  </conditionalFormatting>
  <conditionalFormatting sqref="N11">
    <cfRule type="cellIs" dxfId="1" priority="61" operator="lessThan">
      <formula>0</formula>
    </cfRule>
  </conditionalFormatting>
  <conditionalFormatting sqref="O11">
    <cfRule type="cellIs" dxfId="1" priority="62" operator="lessThan">
      <formula>0</formula>
    </cfRule>
  </conditionalFormatting>
  <conditionalFormatting sqref="P11">
    <cfRule type="cellIs" dxfId="1" priority="63" operator="lessThan">
      <formula>0</formula>
    </cfRule>
  </conditionalFormatting>
  <conditionalFormatting sqref="Q11">
    <cfRule type="cellIs" dxfId="1" priority="64" operator="lessThan">
      <formula>0</formula>
    </cfRule>
  </conditionalFormatting>
  <conditionalFormatting sqref="R11">
    <cfRule type="cellIs" dxfId="1" priority="65" operator="lessThan">
      <formula>0</formula>
    </cfRule>
  </conditionalFormatting>
  <conditionalFormatting sqref="S11">
    <cfRule type="cellIs" dxfId="1" priority="66" operator="lessThan">
      <formula>0</formula>
    </cfRule>
  </conditionalFormatting>
  <conditionalFormatting sqref="Z11">
    <cfRule type="cellIs" dxfId="1" priority="67" operator="lessThan">
      <formula>0</formula>
    </cfRule>
  </conditionalFormatting>
  <conditionalFormatting sqref="AA11">
    <cfRule type="cellIs" dxfId="1" priority="68" operator="lessThan">
      <formula>0</formula>
    </cfRule>
  </conditionalFormatting>
  <conditionalFormatting sqref="AB11">
    <cfRule type="cellIs" dxfId="1" priority="69" operator="lessThan">
      <formula>0</formula>
    </cfRule>
  </conditionalFormatting>
  <conditionalFormatting sqref="B12">
    <cfRule type="cellIs" dxfId="2" priority="70" operator="greaterThan">
      <formula>0.6</formula>
    </cfRule>
  </conditionalFormatting>
  <conditionalFormatting sqref="C12">
    <cfRule type="cellIs" dxfId="2" priority="71" operator="greaterThan">
      <formula>0.6</formula>
    </cfRule>
  </conditionalFormatting>
  <conditionalFormatting sqref="D12">
    <cfRule type="cellIs" dxfId="2" priority="72" operator="greaterThan">
      <formula>0.6</formula>
    </cfRule>
  </conditionalFormatting>
  <conditionalFormatting sqref="E12">
    <cfRule type="cellIs" dxfId="2" priority="73" operator="greaterThan">
      <formula>0.6</formula>
    </cfRule>
  </conditionalFormatting>
  <conditionalFormatting sqref="F12">
    <cfRule type="cellIs" dxfId="2" priority="74" operator="greaterThan">
      <formula>0.6</formula>
    </cfRule>
  </conditionalFormatting>
  <conditionalFormatting sqref="G12">
    <cfRule type="cellIs" dxfId="2" priority="75" operator="greaterThan">
      <formula>0.6</formula>
    </cfRule>
  </conditionalFormatting>
  <conditionalFormatting sqref="H12">
    <cfRule type="cellIs" dxfId="2" priority="76" operator="greaterThan">
      <formula>0.6</formula>
    </cfRule>
  </conditionalFormatting>
  <conditionalFormatting sqref="I12">
    <cfRule type="cellIs" dxfId="2" priority="77" operator="greaterThan">
      <formula>0.6</formula>
    </cfRule>
  </conditionalFormatting>
  <conditionalFormatting sqref="J12">
    <cfRule type="cellIs" dxfId="2" priority="78" operator="greaterThan">
      <formula>0.6</formula>
    </cfRule>
  </conditionalFormatting>
  <conditionalFormatting sqref="K12">
    <cfRule type="cellIs" dxfId="2" priority="79" operator="greaterThan">
      <formula>0.6</formula>
    </cfRule>
  </conditionalFormatting>
  <conditionalFormatting sqref="L12">
    <cfRule type="cellIs" dxfId="2" priority="80" operator="greaterThan">
      <formula>0.6</formula>
    </cfRule>
  </conditionalFormatting>
  <conditionalFormatting sqref="M12">
    <cfRule type="cellIs" dxfId="2" priority="81" operator="greaterThan">
      <formula>0.6</formula>
    </cfRule>
  </conditionalFormatting>
  <conditionalFormatting sqref="N12">
    <cfRule type="cellIs" dxfId="2" priority="82" operator="greaterThan">
      <formula>0.6</formula>
    </cfRule>
  </conditionalFormatting>
  <conditionalFormatting sqref="O12">
    <cfRule type="cellIs" dxfId="2" priority="83" operator="greaterThan">
      <formula>0.6</formula>
    </cfRule>
  </conditionalFormatting>
  <conditionalFormatting sqref="P12">
    <cfRule type="cellIs" dxfId="2" priority="84" operator="greaterThan">
      <formula>0.6</formula>
    </cfRule>
  </conditionalFormatting>
  <conditionalFormatting sqref="Q12">
    <cfRule type="cellIs" dxfId="2" priority="85" operator="greaterThan">
      <formula>0.6</formula>
    </cfRule>
  </conditionalFormatting>
  <conditionalFormatting sqref="R12">
    <cfRule type="cellIs" dxfId="2" priority="86" operator="greaterThan">
      <formula>0.6</formula>
    </cfRule>
  </conditionalFormatting>
  <conditionalFormatting sqref="S12">
    <cfRule type="cellIs" dxfId="2" priority="87" operator="greaterThan">
      <formula>0.6</formula>
    </cfRule>
  </conditionalFormatting>
  <conditionalFormatting sqref="T6">
    <cfRule type="cellIs" dxfId="1" priority="88" operator="lessThan">
      <formula>0</formula>
    </cfRule>
  </conditionalFormatting>
  <conditionalFormatting sqref="U6">
    <cfRule type="cellIs" dxfId="1" priority="89" operator="lessThan">
      <formula>0</formula>
    </cfRule>
  </conditionalFormatting>
  <conditionalFormatting sqref="V6">
    <cfRule type="cellIs" dxfId="1" priority="90" operator="lessThan">
      <formula>0</formula>
    </cfRule>
  </conditionalFormatting>
  <conditionalFormatting sqref="W6">
    <cfRule type="cellIs" dxfId="1" priority="91" operator="lessThan">
      <formula>0</formula>
    </cfRule>
  </conditionalFormatting>
  <conditionalFormatting sqref="X6">
    <cfRule type="cellIs" dxfId="1" priority="92" operator="lessThan">
      <formula>0</formula>
    </cfRule>
  </conditionalFormatting>
  <conditionalFormatting sqref="Y6">
    <cfRule type="cellIs" dxfId="1" priority="93" operator="lessThan">
      <formula>0</formula>
    </cfRule>
  </conditionalFormatting>
  <conditionalFormatting sqref="T11">
    <cfRule type="cellIs" dxfId="1" priority="94" operator="lessThan">
      <formula>0</formula>
    </cfRule>
  </conditionalFormatting>
  <conditionalFormatting sqref="U11">
    <cfRule type="cellIs" dxfId="1" priority="95" operator="lessThan">
      <formula>0</formula>
    </cfRule>
  </conditionalFormatting>
  <conditionalFormatting sqref="V11">
    <cfRule type="cellIs" dxfId="1" priority="96" operator="lessThan">
      <formula>0</formula>
    </cfRule>
  </conditionalFormatting>
  <conditionalFormatting sqref="W11">
    <cfRule type="cellIs" dxfId="1" priority="97" operator="lessThan">
      <formula>0</formula>
    </cfRule>
  </conditionalFormatting>
  <conditionalFormatting sqref="X11">
    <cfRule type="cellIs" dxfId="1" priority="98" operator="lessThan">
      <formula>0</formula>
    </cfRule>
  </conditionalFormatting>
  <conditionalFormatting sqref="Y11">
    <cfRule type="cellIs" dxfId="1" priority="99" operator="lessThan">
      <formula>0</formula>
    </cfRule>
  </conditionalFormatting>
  <conditionalFormatting sqref="T12">
    <cfRule type="cellIs" dxfId="2" priority="100" operator="greaterThan">
      <formula>0.6</formula>
    </cfRule>
  </conditionalFormatting>
  <conditionalFormatting sqref="U12">
    <cfRule type="cellIs" dxfId="2" priority="101" operator="greaterThan">
      <formula>0.6</formula>
    </cfRule>
  </conditionalFormatting>
  <conditionalFormatting sqref="V12">
    <cfRule type="cellIs" dxfId="2" priority="102" operator="greaterThan">
      <formula>0.6</formula>
    </cfRule>
  </conditionalFormatting>
  <conditionalFormatting sqref="W12">
    <cfRule type="cellIs" dxfId="2" priority="103" operator="greaterThan">
      <formula>0.6</formula>
    </cfRule>
  </conditionalFormatting>
  <conditionalFormatting sqref="X12">
    <cfRule type="cellIs" dxfId="2" priority="104" operator="greaterThan">
      <formula>0.6</formula>
    </cfRule>
  </conditionalFormatting>
  <conditionalFormatting sqref="Y12">
    <cfRule type="cellIs" dxfId="2" priority="105" operator="greaterThan">
      <formula>0.6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V87"/>
  <sheetViews>
    <sheetView tabSelected="1" workbookViewId="0" zoomScale="90" zoomScaleNormal="90" showGridLines="false" showRowColHeaders="1">
      <selection activeCell="B42" sqref="B42"/>
    </sheetView>
  </sheetViews>
  <sheetFormatPr defaultRowHeight="14.4" outlineLevelRow="0" outlineLevelCol="0"/>
  <cols>
    <col min="1" max="1" width="39" customWidth="true" style="0"/>
    <col min="2" max="2" width="22.7109375" customWidth="true" style="0"/>
    <col min="3" max="3" width="28" customWidth="true" style="0"/>
    <col min="4" max="4" width="30.140625" customWidth="true" style="0"/>
    <col min="5" max="5" width="29" customWidth="true" style="0"/>
    <col min="6" max="6" width="19.7109375" customWidth="true" style="0"/>
    <col min="7" max="7" width="28.28515625" customWidth="true" style="0"/>
    <col min="8" max="8" width="23.85546875" customWidth="true" style="0"/>
    <col min="9" max="9" width="31.42578125" customWidth="true" style="0"/>
    <col min="10" max="10" width="28.140625" customWidth="true" style="0"/>
    <col min="11" max="11" width="25.42578125" customWidth="true" style="0"/>
    <col min="12" max="12" width="21.5703125" customWidth="true" style="0"/>
    <col min="13" max="13" width="21" customWidth="true" style="0"/>
    <col min="14" max="14" width="21.140625" customWidth="true" style="0"/>
    <col min="15" max="15" width="21" customWidth="true" style="0"/>
    <col min="16" max="16" width="25.42578125" customWidth="true" style="0"/>
  </cols>
  <sheetData>
    <row r="2" spans="1:48">
      <c r="A2" s="3" t="s">
        <v>73</v>
      </c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4"/>
      <c r="P2" s="4"/>
    </row>
    <row r="4" spans="1:48">
      <c r="A4" s="14" t="s">
        <v>74</v>
      </c>
    </row>
    <row r="5" spans="1:48">
      <c r="A5" s="43"/>
      <c r="B5" s="43"/>
      <c r="C5" s="43"/>
      <c r="D5" s="43"/>
      <c r="E5" s="43"/>
      <c r="F5" s="43"/>
      <c r="G5" s="43"/>
      <c r="H5" s="43"/>
      <c r="I5" s="43"/>
      <c r="J5" s="43"/>
      <c r="K5" s="43"/>
      <c r="L5" s="43"/>
      <c r="M5" s="43"/>
    </row>
    <row r="6" spans="1:48" customHeight="1" ht="28.5">
      <c r="A6" s="10" t="s">
        <v>75</v>
      </c>
      <c r="B6" s="10" t="s">
        <v>76</v>
      </c>
      <c r="C6" s="10" t="s">
        <v>77</v>
      </c>
      <c r="D6" s="10" t="s">
        <v>78</v>
      </c>
      <c r="E6" s="10" t="s">
        <v>79</v>
      </c>
      <c r="F6" s="10" t="s">
        <v>80</v>
      </c>
      <c r="G6" s="10" t="s">
        <v>81</v>
      </c>
      <c r="H6" s="10" t="s">
        <v>82</v>
      </c>
      <c r="I6" s="10" t="s">
        <v>83</v>
      </c>
      <c r="J6" s="10" t="s">
        <v>84</v>
      </c>
      <c r="K6" s="10" t="s">
        <v>85</v>
      </c>
      <c r="L6" s="10" t="s">
        <v>86</v>
      </c>
      <c r="M6" s="10" t="s">
        <v>87</v>
      </c>
      <c r="N6" s="10" t="s">
        <v>88</v>
      </c>
    </row>
    <row r="7" spans="1:48">
      <c r="A7" s="142" t="s">
        <v>89</v>
      </c>
      <c r="B7" s="20"/>
      <c r="C7" s="142">
        <v>1</v>
      </c>
      <c r="D7" s="20"/>
      <c r="E7" s="145" t="s">
        <v>90</v>
      </c>
      <c r="F7" s="146" t="s">
        <v>91</v>
      </c>
      <c r="G7" s="145"/>
      <c r="H7" s="145" t="s">
        <v>92</v>
      </c>
      <c r="I7" s="147" t="s">
        <v>93</v>
      </c>
      <c r="J7" s="148" t="s">
        <v>94</v>
      </c>
      <c r="K7" s="137"/>
      <c r="L7" s="20"/>
      <c r="M7" s="163">
        <v>10</v>
      </c>
      <c r="N7" s="153">
        <v>0</v>
      </c>
      <c r="P7" s="41"/>
    </row>
    <row r="8" spans="1:48">
      <c r="A8" s="143" t="s">
        <v>95</v>
      </c>
      <c r="B8" s="16"/>
      <c r="C8" s="143">
        <v>1</v>
      </c>
      <c r="D8" s="16"/>
      <c r="E8" s="147" t="s">
        <v>96</v>
      </c>
      <c r="F8" s="149" t="s">
        <v>97</v>
      </c>
      <c r="G8" s="147"/>
      <c r="H8" s="147" t="s">
        <v>98</v>
      </c>
      <c r="I8" s="147" t="s">
        <v>99</v>
      </c>
      <c r="J8" s="148" t="s">
        <v>100</v>
      </c>
      <c r="K8" s="138"/>
      <c r="L8" s="16"/>
      <c r="M8" s="165">
        <v>5</v>
      </c>
      <c r="N8" s="154">
        <v>0</v>
      </c>
    </row>
    <row r="9" spans="1:48">
      <c r="A9" s="143" t="s">
        <v>101</v>
      </c>
      <c r="B9" s="16"/>
      <c r="C9" s="143">
        <v>1</v>
      </c>
      <c r="D9" s="16"/>
      <c r="E9" s="147" t="s">
        <v>102</v>
      </c>
      <c r="F9" s="149" t="s">
        <v>97</v>
      </c>
      <c r="G9" s="147"/>
      <c r="H9" s="147" t="s">
        <v>92</v>
      </c>
      <c r="I9" s="147" t="s">
        <v>99</v>
      </c>
      <c r="J9" s="148" t="s">
        <v>100</v>
      </c>
      <c r="K9" s="138"/>
      <c r="L9" s="16"/>
      <c r="M9" s="165">
        <v>10</v>
      </c>
      <c r="N9" s="154">
        <v>0</v>
      </c>
    </row>
    <row r="10" spans="1:48">
      <c r="A10" s="143"/>
      <c r="B10" s="16"/>
      <c r="C10" s="143"/>
      <c r="D10" s="16"/>
      <c r="E10" s="147"/>
      <c r="F10" s="149"/>
      <c r="G10" s="147"/>
      <c r="H10" s="147"/>
      <c r="I10" s="147"/>
      <c r="J10" s="148"/>
      <c r="K10" s="138"/>
      <c r="L10" s="16"/>
      <c r="M10" s="165"/>
      <c r="N10" s="154"/>
    </row>
    <row r="11" spans="1:48">
      <c r="A11" s="144"/>
      <c r="B11" s="23"/>
      <c r="C11" s="144"/>
      <c r="D11" s="23"/>
      <c r="E11" s="150"/>
      <c r="F11" s="151"/>
      <c r="G11" s="150"/>
      <c r="H11" s="150"/>
      <c r="I11" s="150"/>
      <c r="J11" s="152"/>
      <c r="K11" s="119"/>
      <c r="L11" s="23"/>
      <c r="M11" s="167"/>
      <c r="N11" s="155"/>
    </row>
    <row r="14" spans="1:48">
      <c r="A14" s="3" t="s">
        <v>62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4"/>
      <c r="P14" s="4"/>
    </row>
    <row r="16" spans="1:48">
      <c r="A16" s="14" t="s">
        <v>103</v>
      </c>
    </row>
    <row r="17" spans="1:48">
      <c r="A17" s="43"/>
      <c r="B17" s="43"/>
      <c r="C17" s="43"/>
      <c r="D17" s="43"/>
      <c r="E17" s="43"/>
      <c r="F17" s="43"/>
      <c r="G17" s="43"/>
      <c r="H17" s="43"/>
      <c r="I17" s="43"/>
      <c r="J17" s="43"/>
      <c r="K17" s="43"/>
      <c r="O17" s="43"/>
      <c r="P17" s="43"/>
    </row>
    <row r="18" spans="1:48" customHeight="1" ht="30">
      <c r="A18" s="10" t="s">
        <v>104</v>
      </c>
      <c r="B18" s="10" t="s">
        <v>105</v>
      </c>
      <c r="C18" s="10" t="s">
        <v>106</v>
      </c>
      <c r="D18" s="10" t="s">
        <v>107</v>
      </c>
      <c r="E18" s="10" t="s">
        <v>108</v>
      </c>
      <c r="F18" s="10" t="s">
        <v>109</v>
      </c>
      <c r="G18" s="10" t="s">
        <v>110</v>
      </c>
      <c r="H18" s="10" t="s">
        <v>111</v>
      </c>
      <c r="I18" s="10" t="s">
        <v>112</v>
      </c>
      <c r="J18" s="10" t="s">
        <v>113</v>
      </c>
      <c r="K18" s="10" t="s">
        <v>114</v>
      </c>
      <c r="L18" s="10" t="s">
        <v>115</v>
      </c>
    </row>
    <row r="19" spans="1:48">
      <c r="A19" s="142" t="s">
        <v>116</v>
      </c>
      <c r="B19" s="20"/>
      <c r="C19" s="142">
        <v>2</v>
      </c>
      <c r="D19" s="145"/>
      <c r="E19" s="20"/>
      <c r="F19" s="145" t="s">
        <v>92</v>
      </c>
      <c r="G19" s="20"/>
      <c r="H19" s="20"/>
      <c r="I19" s="145" t="s">
        <v>117</v>
      </c>
      <c r="J19" s="145"/>
      <c r="K19" s="145"/>
      <c r="L19" s="25"/>
    </row>
    <row r="20" spans="1:48">
      <c r="A20" s="143" t="s">
        <v>118</v>
      </c>
      <c r="B20" s="16"/>
      <c r="C20" s="143">
        <v>10</v>
      </c>
      <c r="D20" s="147"/>
      <c r="E20" s="16"/>
      <c r="F20" s="147" t="s">
        <v>92</v>
      </c>
      <c r="G20" s="16"/>
      <c r="H20" s="16"/>
      <c r="I20" s="147" t="s">
        <v>119</v>
      </c>
      <c r="J20" s="147"/>
      <c r="K20" s="147"/>
      <c r="L20" s="30"/>
    </row>
    <row r="21" spans="1:48">
      <c r="A21" s="144"/>
      <c r="B21" s="23"/>
      <c r="C21" s="144"/>
      <c r="D21" s="150"/>
      <c r="E21" s="23"/>
      <c r="F21" s="150"/>
      <c r="G21" s="23"/>
      <c r="H21" s="23"/>
      <c r="I21" s="150"/>
      <c r="J21" s="150"/>
      <c r="K21" s="150"/>
      <c r="L21" s="31"/>
    </row>
    <row r="23" spans="1:48">
      <c r="A23" s="3" t="s">
        <v>120</v>
      </c>
      <c r="B23" s="9"/>
      <c r="C23" s="9"/>
      <c r="D23" s="9"/>
      <c r="E23" s="9"/>
      <c r="F23" s="9"/>
      <c r="G23" s="9"/>
      <c r="H23" s="9"/>
      <c r="I23" s="9"/>
      <c r="J23" s="9"/>
      <c r="K23" s="9"/>
      <c r="L23" s="9"/>
      <c r="M23" s="9"/>
      <c r="N23" s="9"/>
      <c r="O23" s="4"/>
      <c r="P23" s="4"/>
    </row>
    <row r="24" spans="1:48" customHeight="1" ht="6"/>
    <row r="25" spans="1:48" customHeight="1" ht="30">
      <c r="A25" s="58" t="s">
        <v>121</v>
      </c>
      <c r="B25" s="177">
        <v>10</v>
      </c>
    </row>
    <row r="27" spans="1:48">
      <c r="A27" s="14" t="s">
        <v>122</v>
      </c>
    </row>
    <row r="29" spans="1:48">
      <c r="A29" s="45" t="s">
        <v>123</v>
      </c>
      <c r="B29" s="156" t="s">
        <v>124</v>
      </c>
    </row>
    <row r="30" spans="1:48">
      <c r="A30" s="44" t="s">
        <v>125</v>
      </c>
      <c r="B30" s="157">
        <v>15000</v>
      </c>
    </row>
    <row r="31" spans="1:48">
      <c r="A31" s="5" t="s">
        <v>126</v>
      </c>
      <c r="B31" s="158">
        <v>5000</v>
      </c>
    </row>
    <row r="33" spans="1:48">
      <c r="A33" s="14" t="s">
        <v>127</v>
      </c>
    </row>
    <row r="34" spans="1:48">
      <c r="A34" s="10" t="s">
        <v>128</v>
      </c>
      <c r="B34" s="10" t="s">
        <v>129</v>
      </c>
      <c r="C34" s="10" t="s">
        <v>130</v>
      </c>
      <c r="D34" s="48" t="s">
        <v>131</v>
      </c>
    </row>
    <row r="35" spans="1:48">
      <c r="A35" s="142"/>
      <c r="B35" s="159"/>
      <c r="C35" s="145"/>
      <c r="D35" s="49" t="str">
        <f>IFERROR(VLOOKUP(C35,Parameters!$C$79:$D$90,2,0),"")</f>
        <v/>
      </c>
    </row>
    <row r="36" spans="1:48">
      <c r="A36" s="144"/>
      <c r="B36" s="158"/>
      <c r="C36" s="150"/>
      <c r="D36" s="49" t="str">
        <f>IFERROR(VLOOKUP(C36,Parameters!$C$79:$D$90,2,0),"")</f>
        <v/>
      </c>
    </row>
    <row r="38" spans="1:48">
      <c r="A38" s="3" t="s">
        <v>132</v>
      </c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4"/>
      <c r="P38" s="4"/>
    </row>
    <row r="40" spans="1:48">
      <c r="A40" s="55" t="s">
        <v>133</v>
      </c>
      <c r="B40" s="160" t="s">
        <v>98</v>
      </c>
    </row>
    <row r="41" spans="1:48">
      <c r="A41" s="55" t="s">
        <v>134</v>
      </c>
      <c r="B41" s="140"/>
    </row>
    <row r="42" spans="1:48">
      <c r="A42" s="55" t="s">
        <v>135</v>
      </c>
      <c r="B42" s="139"/>
    </row>
    <row r="43" spans="1:48">
      <c r="A43" s="55" t="s">
        <v>136</v>
      </c>
      <c r="B43" s="160" t="s">
        <v>137</v>
      </c>
    </row>
    <row r="44" spans="1:48">
      <c r="A44" s="56" t="s">
        <v>138</v>
      </c>
      <c r="B44" s="160" t="s">
        <v>98</v>
      </c>
    </row>
    <row r="45" spans="1:48">
      <c r="A45" s="56" t="s">
        <v>139</v>
      </c>
      <c r="B45" s="161">
        <v>850000</v>
      </c>
    </row>
    <row r="46" spans="1:48" customHeight="1" ht="30">
      <c r="A46" s="57" t="s">
        <v>140</v>
      </c>
      <c r="B46" s="161">
        <v>150000</v>
      </c>
    </row>
    <row r="47" spans="1:48" customHeight="1" ht="30">
      <c r="A47" s="57" t="s">
        <v>141</v>
      </c>
      <c r="B47" s="161">
        <v>250000</v>
      </c>
    </row>
    <row r="48" spans="1:48" customHeight="1" ht="30">
      <c r="A48" s="57" t="s">
        <v>142</v>
      </c>
      <c r="B48" s="161">
        <v>2000000</v>
      </c>
    </row>
    <row r="49" spans="1:48" customHeight="1" ht="30">
      <c r="A49" s="57" t="s">
        <v>143</v>
      </c>
      <c r="B49" s="161">
        <v>30000</v>
      </c>
    </row>
    <row r="50" spans="1:48">
      <c r="A50" s="43"/>
      <c r="B50" s="36"/>
    </row>
    <row r="51" spans="1:48">
      <c r="A51" s="58" t="s">
        <v>144</v>
      </c>
      <c r="B51" s="161">
        <v>10000</v>
      </c>
    </row>
    <row r="52" spans="1:48">
      <c r="A52" s="43"/>
    </row>
    <row r="53" spans="1:48">
      <c r="A53" s="3" t="s">
        <v>145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4"/>
      <c r="P53" s="4"/>
    </row>
    <row r="55" spans="1:48" customHeight="1" ht="30.75">
      <c r="A55" s="66" t="s">
        <v>146</v>
      </c>
      <c r="B55" s="10" t="s">
        <v>147</v>
      </c>
      <c r="C55" s="10" t="s">
        <v>148</v>
      </c>
      <c r="D55" s="10" t="s">
        <v>149</v>
      </c>
      <c r="E55" s="10" t="s">
        <v>150</v>
      </c>
      <c r="F55" s="10" t="s">
        <v>151</v>
      </c>
    </row>
    <row r="56" spans="1:48">
      <c r="A56" s="159">
        <v>21750</v>
      </c>
      <c r="B56" s="159">
        <v>0</v>
      </c>
      <c r="C56" s="162" t="s">
        <v>152</v>
      </c>
      <c r="D56" s="163" t="s">
        <v>153</v>
      </c>
      <c r="E56" s="163" t="s">
        <v>98</v>
      </c>
      <c r="F56" s="163" t="s">
        <v>154</v>
      </c>
    </row>
    <row r="57" spans="1:48">
      <c r="A57" s="157">
        <v>3000</v>
      </c>
      <c r="B57" s="157">
        <v>0</v>
      </c>
      <c r="C57" s="164" t="s">
        <v>155</v>
      </c>
      <c r="D57" s="165" t="s">
        <v>156</v>
      </c>
      <c r="E57" s="165" t="s">
        <v>98</v>
      </c>
      <c r="F57" s="165" t="s">
        <v>154</v>
      </c>
    </row>
    <row r="58" spans="1:48">
      <c r="A58" s="157">
        <v>5000</v>
      </c>
      <c r="B58" s="157">
        <v>5375</v>
      </c>
      <c r="C58" s="164" t="s">
        <v>157</v>
      </c>
      <c r="D58" s="165" t="s">
        <v>156</v>
      </c>
      <c r="E58" s="165" t="s">
        <v>98</v>
      </c>
      <c r="F58" s="165" t="s">
        <v>158</v>
      </c>
    </row>
    <row r="59" spans="1:48">
      <c r="A59" s="157"/>
      <c r="B59" s="157"/>
      <c r="C59" s="164"/>
      <c r="D59" s="165"/>
      <c r="E59" s="165"/>
      <c r="F59" s="165"/>
    </row>
    <row r="60" spans="1:48">
      <c r="A60" s="158"/>
      <c r="B60" s="158"/>
      <c r="C60" s="166"/>
      <c r="D60" s="167"/>
      <c r="E60" s="167"/>
      <c r="F60" s="167"/>
    </row>
    <row r="63" spans="1:48">
      <c r="A63" s="3" t="s">
        <v>159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4"/>
      <c r="P63" s="4"/>
    </row>
    <row r="65" spans="1:48">
      <c r="A65" s="66" t="s">
        <v>131</v>
      </c>
      <c r="B65" s="10" t="s">
        <v>160</v>
      </c>
      <c r="C65" s="10" t="s">
        <v>161</v>
      </c>
    </row>
    <row r="66" spans="1:48">
      <c r="A66" s="142" t="s">
        <v>162</v>
      </c>
      <c r="B66" s="159">
        <v>50000</v>
      </c>
      <c r="C66" s="163">
        <v>23500</v>
      </c>
      <c r="D66" s="49">
        <f>INDEX(Parameters!$D$79:$D$90,MATCH(Inputs!A66,Parameters!$C$79:$C$90,0))</f>
        <v>6</v>
      </c>
    </row>
    <row r="67" spans="1:48">
      <c r="A67" s="143" t="s">
        <v>163</v>
      </c>
      <c r="B67" s="157">
        <v>39500</v>
      </c>
      <c r="C67" s="165">
        <v>14500</v>
      </c>
      <c r="D67" s="49">
        <f>INDEX(Parameters!$D$79:$D$90,MATCH(Inputs!A67,Parameters!$C$79:$C$90,0))</f>
        <v>5</v>
      </c>
    </row>
    <row r="68" spans="1:48">
      <c r="A68" s="143" t="s">
        <v>164</v>
      </c>
      <c r="B68" s="157">
        <v>28500</v>
      </c>
      <c r="C68" s="165">
        <v>14500</v>
      </c>
      <c r="D68" s="49">
        <f>INDEX(Parameters!$D$79:$D$90,MATCH(Inputs!A68,Parameters!$C$79:$C$90,0))</f>
        <v>4</v>
      </c>
    </row>
    <row r="69" spans="1:48">
      <c r="A69" s="143" t="s">
        <v>165</v>
      </c>
      <c r="B69" s="157">
        <v>32500</v>
      </c>
      <c r="C69" s="165">
        <v>14600</v>
      </c>
      <c r="D69" s="49">
        <f>INDEX(Parameters!$D$79:$D$90,MATCH(Inputs!A69,Parameters!$C$79:$C$90,0))</f>
        <v>3</v>
      </c>
    </row>
    <row r="70" spans="1:48">
      <c r="A70" s="143" t="s">
        <v>166</v>
      </c>
      <c r="B70" s="157">
        <v>35400</v>
      </c>
      <c r="C70" s="165">
        <v>15400</v>
      </c>
      <c r="D70" s="49">
        <f>INDEX(Parameters!$D$79:$D$90,MATCH(Inputs!A70,Parameters!$C$79:$C$90,0))</f>
        <v>2</v>
      </c>
    </row>
    <row r="71" spans="1:48">
      <c r="A71" s="144" t="s">
        <v>167</v>
      </c>
      <c r="B71" s="158">
        <v>28700</v>
      </c>
      <c r="C71" s="167">
        <v>12400</v>
      </c>
      <c r="D71" s="49">
        <f>INDEX(Parameters!$D$79:$D$90,MATCH(Inputs!A71,Parameters!$C$79:$C$90,0))</f>
        <v>1</v>
      </c>
    </row>
    <row r="73" spans="1:48">
      <c r="A73" s="3" t="s">
        <v>168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4"/>
      <c r="P73" s="4"/>
    </row>
    <row r="75" spans="1:48">
      <c r="A75" t="s">
        <v>169</v>
      </c>
      <c r="B75" s="161">
        <v>18</v>
      </c>
    </row>
    <row r="76" spans="1:48">
      <c r="A76" t="s">
        <v>170</v>
      </c>
      <c r="B76" s="168" t="s">
        <v>171</v>
      </c>
    </row>
    <row r="78" spans="1:48" customHeight="1" ht="20.25">
      <c r="B78" s="127" t="s">
        <v>172</v>
      </c>
    </row>
    <row r="79" spans="1:48">
      <c r="A79" t="s">
        <v>173</v>
      </c>
      <c r="B79" s="168" t="s">
        <v>174</v>
      </c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</row>
    <row r="80" spans="1:48">
      <c r="A80" t="s">
        <v>175</v>
      </c>
      <c r="B80" s="168" t="s">
        <v>176</v>
      </c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</row>
    <row r="81" spans="1:48">
      <c r="A81" t="s">
        <v>177</v>
      </c>
      <c r="B81" s="161">
        <v>100000</v>
      </c>
    </row>
    <row r="82" spans="1:48">
      <c r="A82" t="s">
        <v>178</v>
      </c>
      <c r="B82" s="161">
        <v>20</v>
      </c>
    </row>
    <row r="83" spans="1:48">
      <c r="A83" t="s">
        <v>179</v>
      </c>
      <c r="B83" s="169" t="s">
        <v>180</v>
      </c>
    </row>
    <row r="84" spans="1:48">
      <c r="A84" t="s">
        <v>181</v>
      </c>
      <c r="B84" s="169">
        <v>1</v>
      </c>
    </row>
    <row r="85" spans="1:48">
      <c r="A85" t="s">
        <v>182</v>
      </c>
      <c r="B85" s="169">
        <v>12</v>
      </c>
    </row>
    <row r="86" spans="1:48">
      <c r="A86" t="s">
        <v>183</v>
      </c>
      <c r="B86" s="161"/>
    </row>
    <row r="87" spans="1:48">
      <c r="A87" t="s">
        <v>184</v>
      </c>
      <c r="B87" s="16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conditionalFormatting sqref="B7">
    <cfRule type="expression" dxfId="3" priority="1">
      <formula>A7="Other crops"</formula>
    </cfRule>
  </conditionalFormatting>
  <conditionalFormatting sqref="B8">
    <cfRule type="expression" dxfId="3" priority="2">
      <formula>A7="Other crops"</formula>
    </cfRule>
  </conditionalFormatting>
  <conditionalFormatting sqref="B9">
    <cfRule type="expression" dxfId="3" priority="3">
      <formula>A7="Other crops"</formula>
    </cfRule>
  </conditionalFormatting>
  <conditionalFormatting sqref="B10">
    <cfRule type="expression" dxfId="3" priority="4">
      <formula>A7="Other crops"</formula>
    </cfRule>
  </conditionalFormatting>
  <conditionalFormatting sqref="B11">
    <cfRule type="expression" dxfId="3" priority="5">
      <formula>A7="Other crops"</formula>
    </cfRule>
  </conditionalFormatting>
  <conditionalFormatting sqref="D7">
    <cfRule type="expression" dxfId="4" priority="6">
      <formula>$A7="Other crops"</formula>
    </cfRule>
  </conditionalFormatting>
  <conditionalFormatting sqref="D8">
    <cfRule type="expression" dxfId="4" priority="7">
      <formula>$A7="Other crops"</formula>
    </cfRule>
  </conditionalFormatting>
  <conditionalFormatting sqref="D9">
    <cfRule type="expression" dxfId="4" priority="8">
      <formula>$A7="Other crops"</formula>
    </cfRule>
  </conditionalFormatting>
  <conditionalFormatting sqref="D10">
    <cfRule type="expression" dxfId="4" priority="9">
      <formula>$A7="Other crops"</formula>
    </cfRule>
  </conditionalFormatting>
  <conditionalFormatting sqref="D11">
    <cfRule type="expression" dxfId="4" priority="10">
      <formula>$A7="Other crops"</formula>
    </cfRule>
  </conditionalFormatting>
  <conditionalFormatting sqref="L7">
    <cfRule type="expression" dxfId="4" priority="11">
      <formula>$A7="Other crops"</formula>
    </cfRule>
  </conditionalFormatting>
  <conditionalFormatting sqref="L8">
    <cfRule type="expression" dxfId="4" priority="12">
      <formula>$A7="Other crops"</formula>
    </cfRule>
  </conditionalFormatting>
  <conditionalFormatting sqref="L9">
    <cfRule type="expression" dxfId="4" priority="13">
      <formula>$A7="Other crops"</formula>
    </cfRule>
  </conditionalFormatting>
  <conditionalFormatting sqref="L10">
    <cfRule type="expression" dxfId="4" priority="14">
      <formula>$A7="Other crops"</formula>
    </cfRule>
  </conditionalFormatting>
  <conditionalFormatting sqref="L11">
    <cfRule type="expression" dxfId="4" priority="15">
      <formula>$A7="Other crops"</formula>
    </cfRule>
  </conditionalFormatting>
  <conditionalFormatting sqref="K7">
    <cfRule type="expression" dxfId="4" priority="16">
      <formula>$A7="Other crops"</formula>
    </cfRule>
  </conditionalFormatting>
  <conditionalFormatting sqref="K8">
    <cfRule type="expression" dxfId="4" priority="17">
      <formula>$A7="Other crops"</formula>
    </cfRule>
  </conditionalFormatting>
  <conditionalFormatting sqref="K9">
    <cfRule type="expression" dxfId="4" priority="18">
      <formula>$A7="Other crops"</formula>
    </cfRule>
  </conditionalFormatting>
  <conditionalFormatting sqref="K10">
    <cfRule type="expression" dxfId="4" priority="19">
      <formula>$A7="Other crops"</formula>
    </cfRule>
  </conditionalFormatting>
  <conditionalFormatting sqref="K11">
    <cfRule type="expression" dxfId="4" priority="20">
      <formula>$A7="Other crops"</formula>
    </cfRule>
  </conditionalFormatting>
  <conditionalFormatting sqref="B19">
    <cfRule type="expression" dxfId="5" priority="21">
      <formula>$A19="Other animals"</formula>
    </cfRule>
  </conditionalFormatting>
  <conditionalFormatting sqref="B20">
    <cfRule type="expression" dxfId="5" priority="22">
      <formula>$A19="Other animals"</formula>
    </cfRule>
  </conditionalFormatting>
  <conditionalFormatting sqref="B21">
    <cfRule type="expression" dxfId="5" priority="23">
      <formula>$A19="Other animals"</formula>
    </cfRule>
  </conditionalFormatting>
  <conditionalFormatting sqref="H19">
    <cfRule type="expression" dxfId="5" priority="24">
      <formula>$A19="Other animals"</formula>
    </cfRule>
  </conditionalFormatting>
  <conditionalFormatting sqref="H20">
    <cfRule type="expression" dxfId="5" priority="25">
      <formula>$A19="Other animals"</formula>
    </cfRule>
  </conditionalFormatting>
  <conditionalFormatting sqref="H21">
    <cfRule type="expression" dxfId="5" priority="26">
      <formula>$A19="Other animals"</formula>
    </cfRule>
  </conditionalFormatting>
  <conditionalFormatting sqref="E19">
    <cfRule type="expression" dxfId="5" priority="27">
      <formula>$A19="Other animals"</formula>
    </cfRule>
  </conditionalFormatting>
  <conditionalFormatting sqref="E20">
    <cfRule type="expression" dxfId="5" priority="28">
      <formula>$A19="Other animals"</formula>
    </cfRule>
  </conditionalFormatting>
  <conditionalFormatting sqref="E21">
    <cfRule type="expression" dxfId="5" priority="29">
      <formula>$A19="Other animals"</formula>
    </cfRule>
  </conditionalFormatting>
  <conditionalFormatting sqref="G19">
    <cfRule type="expression" dxfId="5" priority="30">
      <formula>$A19="Other animals"</formula>
    </cfRule>
  </conditionalFormatting>
  <conditionalFormatting sqref="G20">
    <cfRule type="expression" dxfId="5" priority="31">
      <formula>$A19="Other animals"</formula>
    </cfRule>
  </conditionalFormatting>
  <conditionalFormatting sqref="G21">
    <cfRule type="expression" dxfId="5" priority="32">
      <formula>$A19="Other animals"</formula>
    </cfRule>
  </conditionalFormatting>
  <conditionalFormatting sqref="B41">
    <cfRule type="expression" dxfId="6" priority="33">
      <formula>$B$40="No"</formula>
    </cfRule>
  </conditionalFormatting>
  <conditionalFormatting sqref="B42">
    <cfRule type="expression" dxfId="6" priority="34">
      <formula>$B$40="No"</formula>
    </cfRule>
  </conditionalFormatting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Z84"/>
  <sheetViews>
    <sheetView tabSelected="0" workbookViewId="0" zoomScale="90" zoomScaleNormal="90" showGridLines="false" showRowColHeaders="1">
      <selection activeCell="S6" sqref="S6"/>
    </sheetView>
  </sheetViews>
  <sheetFormatPr defaultRowHeight="14.4" outlineLevelRow="0" outlineLevelCol="0"/>
  <cols>
    <col min="1" max="1" width="15.7109375" customWidth="true" style="0"/>
    <col min="2" max="2" width="18.85546875" customWidth="true" style="43"/>
    <col min="3" max="3" width="23.7109375" customWidth="true" style="43"/>
    <col min="4" max="4" width="19.42578125" customWidth="true" style="0"/>
    <col min="5" max="5" width="27.5703125" customWidth="true" style="0"/>
    <col min="6" max="6" width="22" customWidth="true" style="0"/>
    <col min="7" max="7" width="19.42578125" customWidth="true" style="0"/>
    <col min="8" max="8" width="12.7109375" customWidth="true" style="0"/>
    <col min="9" max="9" width="12.7109375" customWidth="true" style="0"/>
    <col min="10" max="10" width="12.28515625" customWidth="true" style="0"/>
    <col min="11" max="11" width="12.7109375" customWidth="true" style="0"/>
    <col min="12" max="12" width="10.42578125" customWidth="true" style="0"/>
    <col min="13" max="13" width="12.28515625" customWidth="true" style="0"/>
    <col min="14" max="14" width="13.28515625" customWidth="true" style="0"/>
    <col min="15" max="15" width="13" customWidth="true" style="0"/>
    <col min="16" max="16" width="13" customWidth="true" style="0"/>
    <col min="18" max="18" width="16.7109375" customWidth="true" style="0"/>
    <col min="19" max="19" width="10" customWidth="true" style="0"/>
    <col min="20" max="20" width="12.5703125" customWidth="true" style="0"/>
    <col min="21" max="21" width="13.7109375" customWidth="true" style="0"/>
    <col min="22" max="22" width="13.7109375" customWidth="true" style="0"/>
    <col min="23" max="23" width="13.7109375" customWidth="true" style="0"/>
    <col min="24" max="24" width="10.7109375" customWidth="true" style="0"/>
    <col min="25" max="25" width="10" customWidth="true" style="0"/>
    <col min="26" max="26" width="10" customWidth="true" style="0"/>
    <col min="27" max="27" width="10" customWidth="true" style="0"/>
    <col min="28" max="28" width="10" customWidth="true" style="0"/>
    <col min="29" max="29" width="10" customWidth="true" style="0"/>
    <col min="30" max="30" width="10" customWidth="true" style="0"/>
    <col min="31" max="31" width="10" customWidth="true" style="0"/>
    <col min="32" max="32" width="10" customWidth="true" style="0"/>
    <col min="33" max="33" width="10" customWidth="true" style="0"/>
    <col min="34" max="34" width="10" customWidth="true" style="0"/>
    <col min="35" max="35" width="10" customWidth="true" style="0"/>
    <col min="36" max="36" width="10" customWidth="true" style="0"/>
    <col min="37" max="37" width="10" customWidth="true" style="0"/>
    <col min="38" max="38" width="10" customWidth="true" style="0"/>
    <col min="39" max="39" width="10" customWidth="true" style="0"/>
    <col min="40" max="40" width="10" customWidth="true" style="0"/>
    <col min="41" max="41" width="10" customWidth="true" style="0"/>
    <col min="42" max="42" width="10" customWidth="true" style="0"/>
  </cols>
  <sheetData>
    <row r="1" spans="1:52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4"/>
    </row>
    <row r="2" spans="1:52">
      <c r="B2" s="43"/>
      <c r="C2" s="43"/>
    </row>
    <row r="3" spans="1:52" customHeight="1" ht="28.5">
      <c r="A3" s="15" t="s">
        <v>75</v>
      </c>
      <c r="B3" s="15" t="s">
        <v>185</v>
      </c>
      <c r="C3" s="15" t="s">
        <v>186</v>
      </c>
      <c r="D3" s="15" t="s">
        <v>187</v>
      </c>
      <c r="E3" s="15" t="s">
        <v>188</v>
      </c>
      <c r="F3" s="15" t="s">
        <v>189</v>
      </c>
      <c r="G3" s="15" t="s">
        <v>190</v>
      </c>
      <c r="H3" s="15" t="s">
        <v>191</v>
      </c>
      <c r="I3" s="15" t="s">
        <v>192</v>
      </c>
      <c r="J3" s="15" t="s">
        <v>193</v>
      </c>
      <c r="K3" s="15" t="s">
        <v>194</v>
      </c>
      <c r="L3" s="15" t="s">
        <v>195</v>
      </c>
      <c r="M3" s="15" t="s">
        <v>196</v>
      </c>
      <c r="N3" s="15" t="s">
        <v>197</v>
      </c>
      <c r="O3" s="15" t="s">
        <v>198</v>
      </c>
      <c r="P3" s="15" t="s">
        <v>199</v>
      </c>
      <c r="Q3" s="32" t="s">
        <v>200</v>
      </c>
      <c r="R3" s="15" t="s">
        <v>201</v>
      </c>
      <c r="S3" s="15" t="s">
        <v>202</v>
      </c>
      <c r="T3" s="15" t="s">
        <v>203</v>
      </c>
      <c r="U3" s="178" t="s">
        <v>87</v>
      </c>
      <c r="V3" s="32" t="s">
        <v>204</v>
      </c>
      <c r="W3" s="32" t="s">
        <v>205</v>
      </c>
      <c r="X3" s="32" t="s">
        <v>206</v>
      </c>
      <c r="Y3" s="32" t="s">
        <v>207</v>
      </c>
      <c r="Z3" s="32" t="s">
        <v>43</v>
      </c>
      <c r="AA3" s="32" t="s">
        <v>208</v>
      </c>
      <c r="AB3" s="32" t="s">
        <v>209</v>
      </c>
      <c r="AC3" s="59">
        <f>Output!B5</f>
        <v>42917</v>
      </c>
      <c r="AD3" s="59">
        <f>Output!C5</f>
        <v>42948</v>
      </c>
      <c r="AE3" s="59">
        <f>Output!D5</f>
        <v>42979</v>
      </c>
      <c r="AF3" s="59">
        <f>Output!E5</f>
        <v>43009</v>
      </c>
      <c r="AG3" s="59">
        <f>Output!F5</f>
        <v>43040</v>
      </c>
      <c r="AH3" s="59">
        <f>Output!G5</f>
        <v>43070</v>
      </c>
      <c r="AI3" s="59">
        <f>Output!H5</f>
        <v>43101</v>
      </c>
      <c r="AJ3" s="59">
        <f>Output!I5</f>
        <v>43132</v>
      </c>
      <c r="AK3" s="59">
        <f>Output!J5</f>
        <v>43160</v>
      </c>
      <c r="AL3" s="59">
        <f>Output!K5</f>
        <v>43191</v>
      </c>
      <c r="AM3" s="59">
        <f>Output!L5</f>
        <v>43221</v>
      </c>
      <c r="AN3" s="59">
        <f>Output!M5</f>
        <v>43252</v>
      </c>
      <c r="AO3" s="59">
        <f>Output!N5</f>
        <v>43282</v>
      </c>
      <c r="AP3" s="59">
        <f>Output!O5</f>
        <v>43313</v>
      </c>
      <c r="AQ3" s="59">
        <f>Output!P5</f>
        <v>43344</v>
      </c>
      <c r="AR3" s="59">
        <f>Output!Q5</f>
        <v>43374</v>
      </c>
      <c r="AS3" s="59">
        <f>Output!R5</f>
        <v>43405</v>
      </c>
      <c r="AT3" s="59">
        <f>Output!S5</f>
        <v>43435</v>
      </c>
      <c r="AU3" s="59">
        <f>Output!T5</f>
        <v>43466</v>
      </c>
      <c r="AV3" s="59">
        <f>Output!U5</f>
        <v>43497</v>
      </c>
      <c r="AW3" s="59">
        <f>Output!V5</f>
        <v>43525</v>
      </c>
      <c r="AX3" s="59">
        <f>Output!W5</f>
        <v>43556</v>
      </c>
      <c r="AY3" s="59">
        <f>Output!X5</f>
        <v>43586</v>
      </c>
      <c r="AZ3" s="59">
        <f>Output!Y5</f>
        <v>43617</v>
      </c>
    </row>
    <row r="4" spans="1:52" s="21" customFormat="1">
      <c r="A4" s="20" t="str">
        <f>Inputs!A7</f>
        <v>Bananas</v>
      </c>
      <c r="B4" s="38">
        <f>IFERROR(IF(DATE(YEAR(Inputs!$B$76),VLOOKUP(VLOOKUP(A4,Inputs!$A$7:$J$11,MATCH(Inputs!$J$6,Inputs!$A$6:$N$6,0),0),Parameters!$C$79:$D$90,2,0)+1,1)&gt;DATE(YEAR(Inputs!$B$76),MONTH(Inputs!$B$76),DAY(Inputs!$B$76)),DATE(YEAR(Inputs!$B$76),VLOOKUP(VLOOKUP(A4,Inputs!$A$7:$J$11,MATCH(Inputs!$J$6,Inputs!$A$6:$N$6,0),0),Parameters!$C$79:$D$90,2,0),1),DATE(YEAR(Inputs!$B$76)+1,VLOOKUP(VLOOKUP(A4,Inputs!$A$7:$J$11,MATCH(Inputs!$J$6,Inputs!$A$6:$N$6,0),0),Parameters!$C$79:$D$90,2,0),1)),"")</f>
        <v>43040</v>
      </c>
      <c r="C4" s="38">
        <f>IFERROR(DATE(YEAR(B4),MONTH(B4)+ROUND(T4/2,0),DAY(B4)),B4)</f>
        <v>43040</v>
      </c>
      <c r="D4" s="38" t="str">
        <f>IFERROR(DATE(YEAR(B4),MONTH(B4)+T4,DAY(B4)),"")</f>
        <v/>
      </c>
      <c r="E4" s="38" t="str">
        <f>IFERROR(IF($S4=0,"",IF($S4=2,DATE(YEAR(B4),MONTH(B4)+6,DAY(B4)),IF($S4=1,B4,""))),"")</f>
        <v/>
      </c>
      <c r="F4" s="38" t="str">
        <f>IFERROR(IF($S4=0,"",IF($S4=2,DATE(YEAR(C4),MONTH(C4)+6,DAY(C4)),IF($S4=1,C4,""))),"")</f>
        <v/>
      </c>
      <c r="G4" s="38" t="str">
        <f>IFERROR(IF($S4=0,"",IF($S4=2,DATE(YEAR(D4),MONTH(D4)+6,DAY(D4)),IF($S4=1,D4,""))),"")</f>
        <v/>
      </c>
      <c r="H4" s="20">
        <f>Inputs!C7</f>
        <v>1</v>
      </c>
      <c r="I4" s="137" t="str">
        <f>IFERROR(VLOOKUP(Inputs!E7,Parameters!$J$77:$K$81,2,0),"")</f>
        <v>No</v>
      </c>
      <c r="J4" s="26">
        <f>IFERROR(Inputs!G7/Calculations!H4,"")</f>
        <v>0</v>
      </c>
      <c r="K4" s="26">
        <f>IFERROR(INDEX(Parameters!$A$3:$V$17,MATCH(Calculations!$A4,Parameters!$A$3:$A$17,0),MATCH(Parameters!$I$3,Parameters!$A$3:$V$3,0)),0)</f>
        <v>2000</v>
      </c>
      <c r="L4" s="29">
        <f>IFERROR(IF(A4="Other crops",Inputs!D7/Calculations!H4,IF(NOT(ISERROR(MATCH(Inputs!A7,Parameters!$D$52:$I$52,0))),INDEX(Parameters!$B$53:$I$71,MATCH(Calculations!$J$32,Parameters!$B$53:$B$71,0),MATCH(Parameters!$D$53,Parameters!$B$53:$I$53,0)),INDEX(Parameters!$A$3:$V$17,MATCH(Calculations!$A4,Parameters!$A$3:$A$17,0),MATCH(Parameters!$B$3,Parameters!$A$3:$V$3,0)))*(1+IF(I4="Yes",INDEX(Parameters!$A$3:$V$17,MATCH(Calculations!$A4,Parameters!$A$3:$A$17,0),MATCH(Parameters!$C$3,Parameters!$A$3:$V$3,0)),0))*(1+IF(Inputs!H7="Yes",INDEX(Parameters!$A$3:$V$17,MATCH(Calculations!$A4,Parameters!$A$3:$A$17,0),MATCH(Parameters!$F$3,Parameters!$A$3:$V$3,0)),0))*(1+IF(J4=0,0,IF(J4/K4&lt;0.5,INDEX(Parameters!$A$3:$V$17,MATCH(Calculations!$A4,Parameters!$A$3:$A$17,0),MATCH(Parameters!$D$3,Parameters!$A$3:$V$3,0)),IFERROR(INDEX(Parameters!$A$3:$V$17,MATCH(Calculations!$A4,Parameters!$A$3:$A$17,0),MATCH(Parameters!$E$3,Parameters!$A$3:$V$3,0)),0)))))*IFERROR(IF(AND(INDEX(Parameters!$B$53:$G$71,MATCH(Calculations!$J$32,Parameters!$B$53:$B$71,0),MATCH(Parameters!$G$53,Parameters!$B$53:$G$53,0))="Yes",OR(Inputs!I7="No",Inputs!I7="")),INDEX(Parameters!$A$3:$AI$17,MATCH(Inputs!A7,Parameters!$A$3:$A$17,0),MATCH(Parameters!$H$3,Parameters!$A$3:$AI$3,0)),1),1),0)</f>
        <v>6609.764</v>
      </c>
      <c r="M4" s="25">
        <f>L4*H4</f>
        <v>6609.764</v>
      </c>
      <c r="N4" s="22">
        <f>Calculations!U4</f>
        <v>0.1</v>
      </c>
      <c r="O4" s="30">
        <f>IFERROR(IF(IF(A4="Other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="",0,IF(A4="Other crops",Inputs!L7,IF(I4="No",INDEX(Parameters!$A$3:$V$17,MATCH(Calculations!$A4,Parameters!$A$3:$A$17,0),MATCH(Parameters!$S$3,Parameters!$A$3:$V$3,0)),INDEX(Parameters!$A$3:$V$17,MATCH(Calculations!$A4,Parameters!$A$3:$A$17,0),MATCH(Parameters!$T$3,Parameters!$A$3:$V$3,0))))),0)</f>
        <v>21</v>
      </c>
      <c r="P4" s="22">
        <f>IFERROR(INDEX(Parameters!$A$3:$V$17,MATCH(Calculations!$A4,Parameters!$A$3:$A$17,0),MATCH($P$3,Parameters!$A$3:$V$3,0)),0)</f>
        <v>0</v>
      </c>
      <c r="Q4" s="33">
        <f>IFERROR(M4*O4*(1-N4)*MAX(S4,1),0)</f>
        <v>124924.5396</v>
      </c>
      <c r="R4" s="22">
        <f>IFERROR(IF(INDEX(Parameters!$A$3:$V$17,MATCH(Calculations!$A4,Parameters!$A$3:$A$17,0),MATCH($R$3,Parameters!$A$3:$V$3,0))="",0,INDEX(Parameters!$A$3:$V$17,MATCH(Calculations!$A4,Parameters!$A$3:$A$17,0),MATCH($R$3,Parameters!$A$3:$V$3,0))),0)</f>
        <v>0</v>
      </c>
      <c r="S4" s="25">
        <f>IF(ISERROR(MATCH(Inputs!A7,Parameters!$D$52:$I$52,0)),IF(T4="","",IF(T4="N/A",IF(Inputs!J7&lt;&gt;Parameters!$C$78,0,2),IF(T4&lt;6,2,1))),INDEX(Parameters!$B$53:$I$71,MATCH(Calculations!$J$32,Parameters!$B$53:$B$71,0),MATCH(Parameters!$E$53,Parameters!$B$53:$I$53,0)))</f>
        <v>0</v>
      </c>
      <c r="T4" s="25" t="str">
        <f>IF(ISERROR(MATCH(Inputs!A7,Parameters!$D$52:$I$52,0)),IFERROR(INDEX(Parameters!$A$3:$AI$17,MATCH(Inputs!A7,Parameters!$A$3:$A$17,0),MATCH(Parameters!$W$3,Parameters!$A$3:$AI$3,0)),IFERROR(IF(Inputs!K7&lt;&gt;Parameters!$C$78,MOD(VLOOKUP(Inputs!K7,Parameters!$C$79:$D$90,2,0)-MONTH(Calculations!B4),12),"N/A"),"")),INDEX(Parameters!$B$53:$I$71,MATCH(Calculations!$J$32,Parameters!$B$53:$B$71,0),MATCH(Parameters!$F$53,Parameters!$B$53:$I$53,0)))</f>
        <v>N/A</v>
      </c>
      <c r="U4" s="60">
        <f>Inputs!M7/100</f>
        <v>0.1</v>
      </c>
      <c r="V4" s="33">
        <f>IFERROR(IF(Inputs!E7="Yes",INDEX(Parameters!$A$3:$V$17,MATCH(Calculations!$A4,Parameters!$A$3:$A$17,0),MATCH(Parameters!$N$3,Parameters!$A$3:$V$3,0)),INDEX(Parameters!$A$3:$V$17,MATCH(Calculations!$A4,Parameters!$A$3:$A$17,0),MATCH(Parameters!$M$3,Parameters!$A$3:$V$3,0)))*INDEX(Parameters!$A$3:$V$17,MATCH(Calculations!$A4,Parameters!$A$3:$A$17,0),MATCH(Parameters!$K$3,Parameters!$A$3:$V$3,0)),SUMPRODUCT(Parameters!$K$4:$K$17,Parameters!$M$4:$M$17)/COUNTIF(Parameters!$K$4:$K$17,"&gt;0"))*Calculations!H4</f>
        <v>0</v>
      </c>
      <c r="W4" s="33">
        <f>IFERROR(J4*H4*Parameters!$B$35+IF(OR(Inputs!F7=Parameters!$E$78,Inputs!F7=Parameters!$E$80),Calculations!H4*Parameters!$B$36,0),0)</f>
        <v>2000</v>
      </c>
      <c r="X4" s="33">
        <f>IFERROR(IF(J4/K4&gt;0.5,H4*INDEX(Parameters!$A$3:$AI$17,MATCH(Calculations!A4,Parameters!$A$3:$A$17,0),MATCH(Parameters!$J$3,Parameters!$A$3:$AI$3,0)),0),0)</f>
        <v>0</v>
      </c>
      <c r="Y4" s="33">
        <f>IF(Inputs!H7="Yes",IFERROR(H4*INDEX(Parameters!$A$3:$AI$17,MATCH(Calculations!A4,Parameters!$A$3:$A$17,0),MATCH(Parameters!$P$3,Parameters!$A$3:$AI$3,0)),AVERAGE(Parameters!$P$4:$P$17)),0)</f>
        <v>0</v>
      </c>
      <c r="Z4" s="33">
        <f>IF(Inputs!I7=Parameters!$F$78,H4*INDEX(Parameters!$A$3:$AI$18,MATCH(Calculations!A4,Parameters!$A$3:$A$18,0),MATCH(Parameters!$Q$3,Parameters!$A$3:$AI$3,0)),0)</f>
        <v>0</v>
      </c>
      <c r="AA4" s="33">
        <f>IFERROR(IF(Inputs!N7&gt;0,INDEX(Parameters!$A$3:$AI$17,MATCH(Calculations!A4,Parameters!$A$3:$A$17,0),MATCH(Parameters!$R$3,Parameters!$A$3:$AI$3,0)),0)*M4/S4,0)</f>
        <v>0</v>
      </c>
      <c r="AB4" s="33">
        <f>H4*IFERROR(INDEX(Parameters!$A$3:$AI$17,MATCH(Calculations!A4,Parameters!$A$3:$A$17,0),MATCH(Parameters!$O$3,Parameters!$A$3:$AI$3,0)),AVERAGE(Parameters!$O$4:$O$17))*(1-Inputs!$B$25/100)</f>
        <v>11250</v>
      </c>
      <c r="AC4" s="60">
        <f>IF($A4=0,1/12,IFERROR(INDEX(Parameters!$X$2:$AI$17,MATCH(Calculations!$A4,Parameters!$A$2:$A$17,0),MONTH(Calculations!AC$3)),1/12))</f>
        <v>0.08333333333333333</v>
      </c>
      <c r="AD4" s="60">
        <f>IF($A4=0,1/12,IFERROR(INDEX(Parameters!$X$2:$AI$17,MATCH(Calculations!$A4,Parameters!$A$2:$A$17,0),MONTH(Calculations!AD$3)),1/12))</f>
        <v>0.08333333333333333</v>
      </c>
      <c r="AE4" s="60">
        <f>IF($A4=0,1/12,IFERROR(INDEX(Parameters!$X$2:$AI$17,MATCH(Calculations!$A4,Parameters!$A$2:$A$17,0),MONTH(Calculations!AE$3)),1/12))</f>
        <v>0.08333333333333333</v>
      </c>
      <c r="AF4" s="60">
        <f>IF($A4=0,1/12,IFERROR(INDEX(Parameters!$X$2:$AI$17,MATCH(Calculations!$A4,Parameters!$A$2:$A$17,0),MONTH(Calculations!AF$3)),1/12))</f>
        <v>0.08333333333333333</v>
      </c>
      <c r="AG4" s="60">
        <f>IF($A4=0,1/12,IFERROR(INDEX(Parameters!$X$2:$AI$17,MATCH(Calculations!$A4,Parameters!$A$2:$A$17,0),MONTH(Calculations!AG$3)),1/12))</f>
        <v>0.08333333333333333</v>
      </c>
      <c r="AH4" s="60">
        <f>IF($A4=0,1/12,IFERROR(INDEX(Parameters!$X$2:$AI$17,MATCH(Calculations!$A4,Parameters!$A$2:$A$17,0),MONTH(Calculations!AH$3)),1/12))</f>
        <v>0.08333333333333333</v>
      </c>
      <c r="AI4" s="60">
        <f>IF($A4=0,1/12,IFERROR(INDEX(Parameters!$X$2:$AI$17,MATCH(Calculations!$A4,Parameters!$A$2:$A$17,0),MONTH(Calculations!AI$3)),1/12))</f>
        <v>0.08333333333333333</v>
      </c>
      <c r="AJ4" s="60">
        <f>IF($A4=0,1/12,IFERROR(INDEX(Parameters!$X$2:$AI$17,MATCH(Calculations!$A4,Parameters!$A$2:$A$17,0),MONTH(Calculations!AJ$3)),1/12))</f>
        <v>0.08333333333333333</v>
      </c>
      <c r="AK4" s="60">
        <f>IF($A4=0,1/12,IFERROR(INDEX(Parameters!$X$2:$AI$17,MATCH(Calculations!$A4,Parameters!$A$2:$A$17,0),MONTH(Calculations!AK$3)),1/12))</f>
        <v>0.08333333333333333</v>
      </c>
      <c r="AL4" s="60">
        <f>IF($A4=0,1/12,IFERROR(INDEX(Parameters!$X$2:$AI$17,MATCH(Calculations!$A4,Parameters!$A$2:$A$17,0),MONTH(Calculations!AL$3)),1/12))</f>
        <v>0.08333333333333333</v>
      </c>
      <c r="AM4" s="60">
        <f>IF($A4=0,1/12,IFERROR(INDEX(Parameters!$X$2:$AI$17,MATCH(Calculations!$A4,Parameters!$A$2:$A$17,0),MONTH(Calculations!AM$3)),1/12))</f>
        <v>0.08333333333333333</v>
      </c>
      <c r="AN4" s="60">
        <f>IF($A4=0,1/12,IFERROR(INDEX(Parameters!$X$2:$AI$17,MATCH(Calculations!$A4,Parameters!$A$2:$A$17,0),MONTH(Calculations!AN$3)),1/12))</f>
        <v>0.08333333333333333</v>
      </c>
      <c r="AO4" s="60">
        <f>IF($A4=0,1/12,IFERROR(INDEX(Parameters!$X$2:$AI$17,MATCH(Calculations!$A4,Parameters!$A$2:$A$17,0),MONTH(Calculations!AO$3)),1/12))</f>
        <v>0.08333333333333333</v>
      </c>
      <c r="AP4" s="60">
        <f>IF($A4=0,1/12,IFERROR(INDEX(Parameters!$X$2:$AI$17,MATCH(Calculations!$A4,Parameters!$A$2:$A$17,0),MONTH(Calculations!AP$3)),1/12))</f>
        <v>0.08333333333333333</v>
      </c>
      <c r="AQ4" s="60">
        <f>IF($A4=0,1/12,IFERROR(INDEX(Parameters!$X$2:$AI$17,MATCH(Calculations!$A4,Parameters!$A$2:$A$17,0),MONTH(Calculations!AQ$3)),1/12))</f>
        <v>0.08333333333333333</v>
      </c>
      <c r="AR4" s="60">
        <f>IF($A4=0,1/12,IFERROR(INDEX(Parameters!$X$2:$AI$17,MATCH(Calculations!$A4,Parameters!$A$2:$A$17,0),MONTH(Calculations!AR$3)),1/12))</f>
        <v>0.08333333333333333</v>
      </c>
      <c r="AS4" s="60">
        <f>IF($A4=0,1/12,IFERROR(INDEX(Parameters!$X$2:$AI$17,MATCH(Calculations!$A4,Parameters!$A$2:$A$17,0),MONTH(Calculations!AS$3)),1/12))</f>
        <v>0.08333333333333333</v>
      </c>
      <c r="AT4" s="60">
        <f>IF($A4=0,1/12,IFERROR(INDEX(Parameters!$X$2:$AI$17,MATCH(Calculations!$A4,Parameters!$A$2:$A$17,0),MONTH(Calculations!AT$3)),1/12))</f>
        <v>0.08333333333333333</v>
      </c>
      <c r="AU4" s="60">
        <f>IF($A4=0,1/12,IFERROR(INDEX(Parameters!$X$2:$AI$17,MATCH(Calculations!$A4,Parameters!$A$2:$A$17,0),MONTH(Calculations!AU$3)),1/12))</f>
        <v>0.08333333333333333</v>
      </c>
      <c r="AV4" s="60">
        <f>IF($A4=0,1/12,IFERROR(INDEX(Parameters!$X$2:$AI$17,MATCH(Calculations!$A4,Parameters!$A$2:$A$17,0),MONTH(Calculations!AV$3)),1/12))</f>
        <v>0.08333333333333333</v>
      </c>
      <c r="AW4" s="60">
        <f>IF($A4=0,1/12,IFERROR(INDEX(Parameters!$X$2:$AI$17,MATCH(Calculations!$A4,Parameters!$A$2:$A$17,0),MONTH(Calculations!AW$3)),1/12))</f>
        <v>0.08333333333333333</v>
      </c>
      <c r="AX4" s="60">
        <f>IF($A4=0,1/12,IFERROR(INDEX(Parameters!$X$2:$AI$17,MATCH(Calculations!$A4,Parameters!$A$2:$A$17,0),MONTH(Calculations!AX$3)),1/12))</f>
        <v>0.08333333333333333</v>
      </c>
      <c r="AY4" s="60">
        <f>IF($A4=0,1/12,IFERROR(INDEX(Parameters!$X$2:$AI$17,MATCH(Calculations!$A4,Parameters!$A$2:$A$17,0),MONTH(Calculations!AY$3)),1/12))</f>
        <v>0.08333333333333333</v>
      </c>
      <c r="AZ4" s="60">
        <f>IF($A4=0,1/12,IFERROR(INDEX(Parameters!$X$2:$AI$17,MATCH(Calculations!$A4,Parameters!$A$2:$A$17,0),MONTH(Calculations!AZ$3)),1/12))</f>
        <v>0.08333333333333333</v>
      </c>
    </row>
    <row r="5" spans="1:52" s="21" customFormat="1">
      <c r="A5" s="16" t="str">
        <f>Inputs!A8</f>
        <v>Other crops</v>
      </c>
      <c r="B5" s="39">
        <f>IFERROR(IF(DATE(YEAR(Inputs!$B$76),VLOOKUP(VLOOKUP(A5,Inputs!$A$7:$J$11,MATCH(Inputs!$J$6,Inputs!$A$6:$N$6,0),0),Parameters!$C$79:$D$90,2,0)+1,1)&gt;DATE(YEAR(Inputs!$B$76),MONTH(Inputs!$B$76),DAY(Inputs!$B$76)),DATE(YEAR(Inputs!$B$76),VLOOKUP(VLOOKUP(A5,Inputs!$A$7:$J$11,MATCH(Inputs!$J$6,Inputs!$A$6:$N$6,0),0),Parameters!$C$79:$D$90,2,0),1),DATE(YEAR(Inputs!$B$76)+1,VLOOKUP(VLOOKUP(A5,Inputs!$A$7:$J$11,MATCH(Inputs!$J$6,Inputs!$A$6:$N$6,0),0),Parameters!$C$79:$D$90,2,0),1)),"")</f>
        <v>42948</v>
      </c>
      <c r="C5" s="39">
        <f>IFERROR(DATE(YEAR(B5),MONTH(B5)+ROUND(T5/2,0),DAY(B5)),B5)</f>
        <v>42948</v>
      </c>
      <c r="D5" s="39" t="str">
        <f>IFERROR(DATE(YEAR(B5),MONTH(B5)+T5,DAY(B5)),"")</f>
        <v/>
      </c>
      <c r="E5" s="39" t="str">
        <f>IFERROR(IF($S5=0,"",IF($S5=2,DATE(YEAR(B5),MONTH(B5)+6,DAY(B5)),IF($S5=1,B5,""))),"")</f>
        <v/>
      </c>
      <c r="F5" s="39" t="str">
        <f>IFERROR(IF($S5=0,"",IF($S5=2,DATE(YEAR(C5),MONTH(C5)+6,DAY(C5)),IF($S5=1,C5,""))),"")</f>
        <v/>
      </c>
      <c r="G5" s="39" t="str">
        <f>IFERROR(IF($S5=0,"",IF($S5=2,DATE(YEAR(D5),MONTH(D5)+6,DAY(D5)),IF($S5=1,D5,""))),"")</f>
        <v/>
      </c>
      <c r="H5" s="16">
        <f>Inputs!C8</f>
        <v>1</v>
      </c>
      <c r="I5" s="138" t="str">
        <f>IFERROR(VLOOKUP(Inputs!E8,Parameters!$J$77:$K$81,2,0),"")</f>
        <v>Yes</v>
      </c>
      <c r="J5" s="27">
        <f>IFERROR(Inputs!G8/Calculations!H5,"")</f>
        <v>0</v>
      </c>
      <c r="K5" s="27" t="str">
        <f>IFERROR(INDEX(Parameters!$A$3:$V$17,MATCH(Calculations!$A5,Parameters!$A$3:$A$17,0),MATCH(Parameters!$I$3,Parameters!$A$3:$V$3,0)),0)</f>
        <v/>
      </c>
      <c r="L5" s="91">
        <f>IFERROR(IF(A5="Other crops",Inputs!D8/Calculations!H5,IF(NOT(ISERROR(MATCH(Inputs!A8,Parameters!$D$52:$I$52,0))),INDEX(Parameters!$B$53:$I$71,MATCH(Calculations!$J$32,Parameters!$B$53:$B$71,0),MATCH(Parameters!$D$53,Parameters!$B$53:$I$53,0)),INDEX(Parameters!$A$3:$V$17,MATCH(Calculations!$A5,Parameters!$A$3:$A$17,0),MATCH(Parameters!$B$3,Parameters!$A$3:$V$3,0)))*(1+IF(I5="Yes",INDEX(Parameters!$A$3:$V$17,MATCH(Calculations!$A5,Parameters!$A$3:$A$17,0),MATCH(Parameters!$C$3,Parameters!$A$3:$V$3,0)),0))*(1+IF(Inputs!H8="Yes",INDEX(Parameters!$A$3:$V$17,MATCH(Calculations!$A5,Parameters!$A$3:$A$17,0),MATCH(Parameters!$F$3,Parameters!$A$3:$V$3,0)),0))*(1+IF(J5=0,0,IF(J5/K5&lt;0.5,INDEX(Parameters!$A$3:$V$17,MATCH(Calculations!$A5,Parameters!$A$3:$A$17,0),MATCH(Parameters!$D$3,Parameters!$A$3:$V$3,0)),IFERROR(INDEX(Parameters!$A$3:$V$17,MATCH(Calculations!$A5,Parameters!$A$3:$A$17,0),MATCH(Parameters!$E$3,Parameters!$A$3:$V$3,0)),0)))))*IFERROR(IF(AND(INDEX(Parameters!$B$53:$G$71,MATCH(Calculations!$J$32,Parameters!$B$53:$B$71,0),MATCH(Parameters!$G$53,Parameters!$B$53:$G$53,0))="Yes",OR(Inputs!I8="No",Inputs!I8="")),INDEX(Parameters!$A$3:$AI$17,MATCH(Inputs!A8,Parameters!$A$3:$A$17,0),MATCH(Parameters!$H$3,Parameters!$A$3:$AI$3,0)),1),1),0)</f>
        <v>0</v>
      </c>
      <c r="M5" s="30">
        <f>L5*H5</f>
        <v>0</v>
      </c>
      <c r="N5" s="22">
        <f>Calculations!U5</f>
        <v>0.05</v>
      </c>
      <c r="O5" s="30">
        <f>IFERROR(IF(IF(A5="Other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="",0,IF(A5="Other crops",Inputs!L8,IF(I5="No",INDEX(Parameters!$A$3:$V$17,MATCH(Calculations!$A5,Parameters!$A$3:$A$17,0),MATCH(Parameters!$S$3,Parameters!$A$3:$V$3,0)),INDEX(Parameters!$A$3:$V$17,MATCH(Calculations!$A5,Parameters!$A$3:$A$17,0),MATCH(Parameters!$T$3,Parameters!$A$3:$V$3,0))))),0)</f>
        <v>0</v>
      </c>
      <c r="P5" s="22" t="str">
        <f>IFERROR(INDEX(Parameters!$A$3:$V$17,MATCH(Calculations!$A5,Parameters!$A$3:$A$17,0),MATCH($P$3,Parameters!$A$3:$V$3,0)),0)</f>
        <v/>
      </c>
      <c r="Q5" s="34">
        <f>IFERROR(M5*O5*(1-N5)*MAX(S5,1),0)</f>
        <v>0</v>
      </c>
      <c r="R5" s="22">
        <f>IFERROR(IF(INDEX(Parameters!$A$3:$V$17,MATCH(Calculations!$A5,Parameters!$A$3:$A$17,0),MATCH($R$3,Parameters!$A$3:$V$3,0))="",0,INDEX(Parameters!$A$3:$V$17,MATCH(Calculations!$A5,Parameters!$A$3:$A$17,0),MATCH($R$3,Parameters!$A$3:$V$3,0))),0)</f>
        <v>0</v>
      </c>
      <c r="S5" s="30" t="str">
        <f>IF(ISERROR(MATCH(Inputs!A8,Parameters!$D$52:$I$52,0)),IF(T5="","",IF(T5="N/A",IF(Inputs!J8&lt;&gt;Parameters!$C$78,0,2),IF(T5&lt;6,2,1))),INDEX(Parameters!$B$53:$I$71,MATCH(Calculations!$J$32,Parameters!$B$53:$B$71,0),MATCH(Parameters!$E$53,Parameters!$B$53:$I$53,0)))</f>
        <v/>
      </c>
      <c r="T5" s="30" t="str">
        <f>IF(ISERROR(MATCH(Inputs!A8,Parameters!$D$52:$I$52,0)),IFERROR(INDEX(Parameters!$A$3:$AI$17,MATCH(Inputs!A8,Parameters!$A$3:$A$17,0),MATCH(Parameters!$W$3,Parameters!$A$3:$AI$3,0)),IFERROR(IF(Inputs!K8&lt;&gt;Parameters!$C$78,MOD(VLOOKUP(Inputs!K8,Parameters!$C$79:$D$90,2,0)-MONTH(Calculations!B5),12),"N/A"),"")),INDEX(Parameters!$B$53:$I$71,MATCH(Calculations!$J$32,Parameters!$B$53:$B$71,0),MATCH(Parameters!$F$53,Parameters!$B$53:$I$53,0)))</f>
        <v/>
      </c>
      <c r="U5" s="22">
        <f>Inputs!M8/100</f>
        <v>0.05</v>
      </c>
      <c r="V5" s="34">
        <f>IFERROR(IF(Inputs!E8="Yes",INDEX(Parameters!$A$3:$V$17,MATCH(Calculations!$A5,Parameters!$A$3:$A$17,0),MATCH(Parameters!$N$3,Parameters!$A$3:$V$3,0)),INDEX(Parameters!$A$3:$V$17,MATCH(Calculations!$A5,Parameters!$A$3:$A$17,0),MATCH(Parameters!$M$3,Parameters!$A$3:$V$3,0)))*INDEX(Parameters!$A$3:$V$17,MATCH(Calculations!$A5,Parameters!$A$3:$A$17,0),MATCH(Parameters!$K$3,Parameters!$A$3:$V$3,0)),SUMPRODUCT(Parameters!$K$4:$K$17,Parameters!$M$4:$M$17)/COUNTIF(Parameters!$K$4:$K$17,"&gt;0"))*Calculations!H5</f>
        <v>0</v>
      </c>
      <c r="W5" s="34">
        <f>IFERROR(J5*H5*Parameters!$B$35+IF(OR(Inputs!F8=Parameters!$E$78,Inputs!F8=Parameters!$E$80),Calculations!H5*Parameters!$B$36,0),0)</f>
        <v>2000</v>
      </c>
      <c r="X5" s="34">
        <f>IFERROR(IF(J5/K5&gt;0.5,H5*INDEX(Parameters!$A$3:$AI$17,MATCH(Calculations!A5,Parameters!$A$3:$A$17,0),MATCH(Parameters!$J$3,Parameters!$A$3:$AI$3,0)),0),0)</f>
        <v>0</v>
      </c>
      <c r="Y5" s="34">
        <f>IF(Inputs!H8="Yes",IFERROR(H5*INDEX(Parameters!$A$3:$AI$17,MATCH(Calculations!A5,Parameters!$A$3:$A$17,0),MATCH(Parameters!$P$3,Parameters!$A$3:$AI$3,0)),AVERAGE(Parameters!$P$4:$P$17)),0)</f>
        <v>0</v>
      </c>
      <c r="Z5" s="34">
        <f>IF(Inputs!I8=Parameters!$F$78,H5*INDEX(Parameters!$A$3:$AI$18,MATCH(Calculations!A5,Parameters!$A$3:$A$18,0),MATCH(Parameters!$Q$3,Parameters!$A$3:$AI$3,0)),0)</f>
        <v>6000</v>
      </c>
      <c r="AA5" s="34">
        <f>IFERROR(IF(Inputs!N8&gt;0,INDEX(Parameters!$A$3:$AI$17,MATCH(Calculations!A5,Parameters!$A$3:$A$17,0),MATCH(Parameters!$R$3,Parameters!$A$3:$AI$3,0)),0)*M5/S5,0)</f>
        <v>0</v>
      </c>
      <c r="AB5" s="34" t="str">
        <f>H5*IFERROR(INDEX(Parameters!$A$3:$AI$17,MATCH(Calculations!A5,Parameters!$A$3:$A$17,0),MATCH(Parameters!$O$3,Parameters!$A$3:$AI$3,0)),AVERAGE(Parameters!$O$4:$O$17))*(1-Inputs!$B$25/100)</f>
        <v>0</v>
      </c>
      <c r="AC5" s="22" t="str">
        <f>IF($A5=0,1/12,IFERROR(INDEX(Parameters!$X$2:$AI$17,MATCH(Calculations!$A5,Parameters!$A$2:$A$17,0),MONTH(Calculations!AC$3)),1/12))</f>
        <v/>
      </c>
      <c r="AD5" s="22" t="str">
        <f>IF($A5=0,1/12,IFERROR(INDEX(Parameters!$X$2:$AI$17,MATCH(Calculations!$A5,Parameters!$A$2:$A$17,0),MONTH(Calculations!AD$3)),1/12))</f>
        <v/>
      </c>
      <c r="AE5" s="22" t="str">
        <f>IF($A5=0,1/12,IFERROR(INDEX(Parameters!$X$2:$AI$17,MATCH(Calculations!$A5,Parameters!$A$2:$A$17,0),MONTH(Calculations!AE$3)),1/12))</f>
        <v/>
      </c>
      <c r="AF5" s="22" t="str">
        <f>IF($A5=0,1/12,IFERROR(INDEX(Parameters!$X$2:$AI$17,MATCH(Calculations!$A5,Parameters!$A$2:$A$17,0),MONTH(Calculations!AF$3)),1/12))</f>
        <v/>
      </c>
      <c r="AG5" s="22" t="str">
        <f>IF($A5=0,1/12,IFERROR(INDEX(Parameters!$X$2:$AI$17,MATCH(Calculations!$A5,Parameters!$A$2:$A$17,0),MONTH(Calculations!AG$3)),1/12))</f>
        <v/>
      </c>
      <c r="AH5" s="22" t="str">
        <f>IF($A5=0,1/12,IFERROR(INDEX(Parameters!$X$2:$AI$17,MATCH(Calculations!$A5,Parameters!$A$2:$A$17,0),MONTH(Calculations!AH$3)),1/12))</f>
        <v/>
      </c>
      <c r="AI5" s="22" t="str">
        <f>IF($A5=0,1/12,IFERROR(INDEX(Parameters!$X$2:$AI$17,MATCH(Calculations!$A5,Parameters!$A$2:$A$17,0),MONTH(Calculations!AI$3)),1/12))</f>
        <v/>
      </c>
      <c r="AJ5" s="22" t="str">
        <f>IF($A5=0,1/12,IFERROR(INDEX(Parameters!$X$2:$AI$17,MATCH(Calculations!$A5,Parameters!$A$2:$A$17,0),MONTH(Calculations!AJ$3)),1/12))</f>
        <v/>
      </c>
      <c r="AK5" s="22" t="str">
        <f>IF($A5=0,1/12,IFERROR(INDEX(Parameters!$X$2:$AI$17,MATCH(Calculations!$A5,Parameters!$A$2:$A$17,0),MONTH(Calculations!AK$3)),1/12))</f>
        <v/>
      </c>
      <c r="AL5" s="22" t="str">
        <f>IF($A5=0,1/12,IFERROR(INDEX(Parameters!$X$2:$AI$17,MATCH(Calculations!$A5,Parameters!$A$2:$A$17,0),MONTH(Calculations!AL$3)),1/12))</f>
        <v/>
      </c>
      <c r="AM5" s="22" t="str">
        <f>IF($A5=0,1/12,IFERROR(INDEX(Parameters!$X$2:$AI$17,MATCH(Calculations!$A5,Parameters!$A$2:$A$17,0),MONTH(Calculations!AM$3)),1/12))</f>
        <v/>
      </c>
      <c r="AN5" s="22" t="str">
        <f>IF($A5=0,1/12,IFERROR(INDEX(Parameters!$X$2:$AI$17,MATCH(Calculations!$A5,Parameters!$A$2:$A$17,0),MONTH(Calculations!AN$3)),1/12))</f>
        <v/>
      </c>
      <c r="AO5" s="22" t="str">
        <f>IF($A5=0,1/12,IFERROR(INDEX(Parameters!$X$2:$AI$17,MATCH(Calculations!$A5,Parameters!$A$2:$A$17,0),MONTH(Calculations!AO$3)),1/12))</f>
        <v/>
      </c>
      <c r="AP5" s="22" t="str">
        <f>IF($A5=0,1/12,IFERROR(INDEX(Parameters!$X$2:$AI$17,MATCH(Calculations!$A5,Parameters!$A$2:$A$17,0),MONTH(Calculations!AP$3)),1/12))</f>
        <v/>
      </c>
      <c r="AQ5" s="22" t="str">
        <f>IF($A5=0,1/12,IFERROR(INDEX(Parameters!$X$2:$AI$17,MATCH(Calculations!$A5,Parameters!$A$2:$A$17,0),MONTH(Calculations!AQ$3)),1/12))</f>
        <v/>
      </c>
      <c r="AR5" s="22" t="str">
        <f>IF($A5=0,1/12,IFERROR(INDEX(Parameters!$X$2:$AI$17,MATCH(Calculations!$A5,Parameters!$A$2:$A$17,0),MONTH(Calculations!AR$3)),1/12))</f>
        <v/>
      </c>
      <c r="AS5" s="22" t="str">
        <f>IF($A5=0,1/12,IFERROR(INDEX(Parameters!$X$2:$AI$17,MATCH(Calculations!$A5,Parameters!$A$2:$A$17,0),MONTH(Calculations!AS$3)),1/12))</f>
        <v/>
      </c>
      <c r="AT5" s="22" t="str">
        <f>IF($A5=0,1/12,IFERROR(INDEX(Parameters!$X$2:$AI$17,MATCH(Calculations!$A5,Parameters!$A$2:$A$17,0),MONTH(Calculations!AT$3)),1/12))</f>
        <v/>
      </c>
      <c r="AU5" s="22" t="str">
        <f>IF($A5=0,1/12,IFERROR(INDEX(Parameters!$X$2:$AI$17,MATCH(Calculations!$A5,Parameters!$A$2:$A$17,0),MONTH(Calculations!AU$3)),1/12))</f>
        <v/>
      </c>
      <c r="AV5" s="22" t="str">
        <f>IF($A5=0,1/12,IFERROR(INDEX(Parameters!$X$2:$AI$17,MATCH(Calculations!$A5,Parameters!$A$2:$A$17,0),MONTH(Calculations!AV$3)),1/12))</f>
        <v/>
      </c>
      <c r="AW5" s="22" t="str">
        <f>IF($A5=0,1/12,IFERROR(INDEX(Parameters!$X$2:$AI$17,MATCH(Calculations!$A5,Parameters!$A$2:$A$17,0),MONTH(Calculations!AW$3)),1/12))</f>
        <v/>
      </c>
      <c r="AX5" s="22" t="str">
        <f>IF($A5=0,1/12,IFERROR(INDEX(Parameters!$X$2:$AI$17,MATCH(Calculations!$A5,Parameters!$A$2:$A$17,0),MONTH(Calculations!AX$3)),1/12))</f>
        <v/>
      </c>
      <c r="AY5" s="22" t="str">
        <f>IF($A5=0,1/12,IFERROR(INDEX(Parameters!$X$2:$AI$17,MATCH(Calculations!$A5,Parameters!$A$2:$A$17,0),MONTH(Calculations!AY$3)),1/12))</f>
        <v/>
      </c>
      <c r="AZ5" s="22" t="str">
        <f>IF($A5=0,1/12,IFERROR(INDEX(Parameters!$X$2:$AI$17,MATCH(Calculations!$A5,Parameters!$A$2:$A$17,0),MONTH(Calculations!AZ$3)),1/12))</f>
        <v/>
      </c>
    </row>
    <row r="6" spans="1:52" s="21" customFormat="1">
      <c r="A6" s="16" t="str">
        <f>Inputs!A9</f>
        <v>Maize</v>
      </c>
      <c r="B6" s="39">
        <f>IFERROR(IF(DATE(YEAR(Inputs!$B$76),VLOOKUP(VLOOKUP(A6,Inputs!$A$7:$J$11,MATCH(Inputs!$J$6,Inputs!$A$6:$N$6,0),0),Parameters!$C$79:$D$90,2,0)+1,1)&gt;DATE(YEAR(Inputs!$B$76),MONTH(Inputs!$B$76),DAY(Inputs!$B$76)),DATE(YEAR(Inputs!$B$76),VLOOKUP(VLOOKUP(A6,Inputs!$A$7:$J$11,MATCH(Inputs!$J$6,Inputs!$A$6:$N$6,0),0),Parameters!$C$79:$D$90,2,0),1),DATE(YEAR(Inputs!$B$76)+1,VLOOKUP(VLOOKUP(A6,Inputs!$A$7:$J$11,MATCH(Inputs!$J$6,Inputs!$A$6:$N$6,0),0),Parameters!$C$79:$D$90,2,0),1)),"")</f>
        <v>42948</v>
      </c>
      <c r="C6" s="39">
        <f>IFERROR(DATE(YEAR(B6),MONTH(B6)+ROUND(T6/2,0),DAY(B6)),B6)</f>
        <v>43009</v>
      </c>
      <c r="D6" s="39">
        <f>IFERROR(DATE(YEAR(B6),MONTH(B6)+T6,DAY(B6)),"")</f>
        <v>43070</v>
      </c>
      <c r="E6" s="39">
        <f>IFERROR(IF($S6=0,"",IF($S6=2,DATE(YEAR(B6),MONTH(B6)+6,DAY(B6)),IF($S6=1,B6,""))),"")</f>
        <v>43132</v>
      </c>
      <c r="F6" s="39">
        <f>IFERROR(IF($S6=0,"",IF($S6=2,DATE(YEAR(C6),MONTH(C6)+6,DAY(C6)),IF($S6=1,C6,""))),"")</f>
        <v>43191</v>
      </c>
      <c r="G6" s="39">
        <f>IFERROR(IF($S6=0,"",IF($S6=2,DATE(YEAR(D6),MONTH(D6)+6,DAY(D6)),IF($S6=1,D6,""))),"")</f>
        <v>43252</v>
      </c>
      <c r="H6" s="16">
        <f>Inputs!C9</f>
        <v>1</v>
      </c>
      <c r="I6" s="138" t="str">
        <f>IFERROR(VLOOKUP(Inputs!E9,Parameters!$J$77:$K$81,2,0),"")</f>
        <v>No</v>
      </c>
      <c r="J6" s="27">
        <f>IFERROR(Inputs!G9/Calculations!H6,"")</f>
        <v>0</v>
      </c>
      <c r="K6" s="27">
        <f>IFERROR(INDEX(Parameters!$A$3:$V$17,MATCH(Calculations!$A6,Parameters!$A$3:$A$17,0),MATCH(Parameters!$I$3,Parameters!$A$3:$V$3,0)),0)</f>
        <v>150</v>
      </c>
      <c r="L6" s="91">
        <f>IFERROR(IF(A6="Other crops",Inputs!D9/Calculations!H6,IF(NOT(ISERROR(MATCH(Inputs!A9,Parameters!$D$52:$I$52,0))),INDEX(Parameters!$B$53:$I$71,MATCH(Calculations!$J$32,Parameters!$B$53:$B$71,0),MATCH(Parameters!$D$53,Parameters!$B$53:$I$53,0)),INDEX(Parameters!$A$3:$V$17,MATCH(Calculations!$A6,Parameters!$A$3:$A$17,0),MATCH(Parameters!$B$3,Parameters!$A$3:$V$3,0)))*(1+IF(I6="Yes",INDEX(Parameters!$A$3:$V$17,MATCH(Calculations!$A6,Parameters!$A$3:$A$17,0),MATCH(Parameters!$C$3,Parameters!$A$3:$V$3,0)),0))*(1+IF(Inputs!H9="Yes",INDEX(Parameters!$A$3:$V$17,MATCH(Calculations!$A6,Parameters!$A$3:$A$17,0),MATCH(Parameters!$F$3,Parameters!$A$3:$V$3,0)),0))*(1+IF(J6=0,0,IF(J6/K6&lt;0.5,INDEX(Parameters!$A$3:$V$17,MATCH(Calculations!$A6,Parameters!$A$3:$A$17,0),MATCH(Parameters!$D$3,Parameters!$A$3:$V$3,0)),IFERROR(INDEX(Parameters!$A$3:$V$17,MATCH(Calculations!$A6,Parameters!$A$3:$A$17,0),MATCH(Parameters!$E$3,Parameters!$A$3:$V$3,0)),0)))))*IFERROR(IF(AND(INDEX(Parameters!$B$53:$G$71,MATCH(Calculations!$J$32,Parameters!$B$53:$B$71,0),MATCH(Parameters!$G$53,Parameters!$B$53:$G$53,0))="Yes",OR(Inputs!I9="No",Inputs!I9="")),INDEX(Parameters!$A$3:$AI$17,MATCH(Inputs!A9,Parameters!$A$3:$A$17,0),MATCH(Parameters!$H$3,Parameters!$A$3:$AI$3,0)),1),1),0)</f>
        <v>465</v>
      </c>
      <c r="M6" s="30">
        <f>L6*H6</f>
        <v>465</v>
      </c>
      <c r="N6" s="22">
        <f>Calculations!U6</f>
        <v>0.1</v>
      </c>
      <c r="O6" s="30">
        <f>IFERROR(IF(IF(A6="Other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="",0,IF(A6="Other crops",Inputs!L9,IF(I6="No",INDEX(Parameters!$A$3:$V$17,MATCH(Calculations!$A6,Parameters!$A$3:$A$17,0),MATCH(Parameters!$S$3,Parameters!$A$3:$V$3,0)),INDEX(Parameters!$A$3:$V$17,MATCH(Calculations!$A6,Parameters!$A$3:$A$17,0),MATCH(Parameters!$T$3,Parameters!$A$3:$V$3,0))))),0)</f>
        <v>21</v>
      </c>
      <c r="P6" s="22">
        <f>IFERROR(INDEX(Parameters!$A$3:$V$17,MATCH(Calculations!$A6,Parameters!$A$3:$A$17,0),MATCH($P$3,Parameters!$A$3:$V$3,0)),0)</f>
        <v>0.2</v>
      </c>
      <c r="Q6" s="34">
        <f>IFERROR(M6*O6*(1-N6)*MAX(S6,1),0)</f>
        <v>17577</v>
      </c>
      <c r="R6" s="22">
        <f>IFERROR(IF(INDEX(Parameters!$A$3:$V$17,MATCH(Calculations!$A6,Parameters!$A$3:$A$17,0),MATCH($R$3,Parameters!$A$3:$V$3,0))="",0,INDEX(Parameters!$A$3:$V$17,MATCH(Calculations!$A6,Parameters!$A$3:$A$17,0),MATCH($R$3,Parameters!$A$3:$V$3,0))),0)</f>
        <v>0</v>
      </c>
      <c r="S6" s="30">
        <f>IF(ISERROR(MATCH(Inputs!A9,Parameters!$D$52:$I$52,0)),IF(T6="","",IF(T6="N/A",IF(Inputs!J9&lt;&gt;Parameters!$C$78,0,2),IF(T6&lt;6,2,1))),INDEX(Parameters!$B$53:$I$71,MATCH(Calculations!$J$32,Parameters!$B$53:$B$71,0),MATCH(Parameters!$E$53,Parameters!$B$53:$I$53,0)))</f>
        <v>2</v>
      </c>
      <c r="T6" s="30">
        <f>IF(ISERROR(MATCH(Inputs!A9,Parameters!$D$52:$I$52,0)),IFERROR(INDEX(Parameters!$A$3:$AI$17,MATCH(Inputs!A9,Parameters!$A$3:$A$17,0),MATCH(Parameters!$W$3,Parameters!$A$3:$AI$3,0)),IFERROR(IF(Inputs!K9&lt;&gt;Parameters!$C$78,MOD(VLOOKUP(Inputs!K9,Parameters!$C$79:$D$90,2,0)-MONTH(Calculations!B6),12),"N/A"),"")),INDEX(Parameters!$B$53:$I$71,MATCH(Calculations!$J$32,Parameters!$B$53:$B$71,0),MATCH(Parameters!$F$53,Parameters!$B$53:$I$53,0)))</f>
        <v>4</v>
      </c>
      <c r="U6" s="22">
        <f>Inputs!M9/100</f>
        <v>0.1</v>
      </c>
      <c r="V6" s="34">
        <f>IFERROR(IF(Inputs!E9="Yes",INDEX(Parameters!$A$3:$V$17,MATCH(Calculations!$A6,Parameters!$A$3:$A$17,0),MATCH(Parameters!$N$3,Parameters!$A$3:$V$3,0)),INDEX(Parameters!$A$3:$V$17,MATCH(Calculations!$A6,Parameters!$A$3:$A$17,0),MATCH(Parameters!$M$3,Parameters!$A$3:$V$3,0)))*INDEX(Parameters!$A$3:$V$17,MATCH(Calculations!$A6,Parameters!$A$3:$A$17,0),MATCH(Parameters!$K$3,Parameters!$A$3:$V$3,0)),SUMPRODUCT(Parameters!$K$4:$K$17,Parameters!$M$4:$M$17)/COUNTIF(Parameters!$K$4:$K$17,"&gt;0"))*Calculations!H6</f>
        <v>303.0000000000001</v>
      </c>
      <c r="W6" s="34">
        <f>IFERROR(J6*H6*Parameters!$B$35+IF(OR(Inputs!F9=Parameters!$E$78,Inputs!F9=Parameters!$E$80),Calculations!H6*Parameters!$B$36,0),0)</f>
        <v>2000</v>
      </c>
      <c r="X6" s="34">
        <f>IFERROR(IF(J6/K6&gt;0.5,H6*INDEX(Parameters!$A$3:$AI$17,MATCH(Calculations!A6,Parameters!$A$3:$A$17,0),MATCH(Parameters!$J$3,Parameters!$A$3:$AI$3,0)),0),0)</f>
        <v>0</v>
      </c>
      <c r="Y6" s="34">
        <f>IF(Inputs!H9="Yes",IFERROR(H6*INDEX(Parameters!$A$3:$AI$17,MATCH(Calculations!A6,Parameters!$A$3:$A$17,0),MATCH(Parameters!$P$3,Parameters!$A$3:$AI$3,0)),AVERAGE(Parameters!$P$4:$P$17)),0)</f>
        <v>0</v>
      </c>
      <c r="Z6" s="34">
        <f>IF(Inputs!I9=Parameters!$F$78,H6*INDEX(Parameters!$A$3:$AI$18,MATCH(Calculations!A6,Parameters!$A$3:$A$18,0),MATCH(Parameters!$Q$3,Parameters!$A$3:$AI$3,0)),0)</f>
        <v>5000</v>
      </c>
      <c r="AA6" s="34">
        <f>IFERROR(IF(Inputs!N9&gt;0,INDEX(Parameters!$A$3:$AI$17,MATCH(Calculations!A6,Parameters!$A$3:$A$17,0),MATCH(Parameters!$R$3,Parameters!$A$3:$AI$3,0)),0)*M6/S6,0)</f>
        <v>0</v>
      </c>
      <c r="AB6" s="34">
        <f>H6*IFERROR(INDEX(Parameters!$A$3:$AI$17,MATCH(Calculations!A6,Parameters!$A$3:$A$17,0),MATCH(Parameters!$O$3,Parameters!$A$3:$AI$3,0)),AVERAGE(Parameters!$O$4:$O$17))*(1-Inputs!$B$25/100)</f>
        <v>10800</v>
      </c>
      <c r="AC6" s="22" t="str">
        <f>IF($A6=0,1/12,IFERROR(INDEX(Parameters!$X$2:$AI$17,MATCH(Calculations!$A6,Parameters!$A$2:$A$17,0),MONTH(Calculations!AC$3)),1/12))</f>
        <v/>
      </c>
      <c r="AD6" s="22" t="str">
        <f>IF($A6=0,1/12,IFERROR(INDEX(Parameters!$X$2:$AI$17,MATCH(Calculations!$A6,Parameters!$A$2:$A$17,0),MONTH(Calculations!AD$3)),1/12))</f>
        <v/>
      </c>
      <c r="AE6" s="22" t="str">
        <f>IF($A6=0,1/12,IFERROR(INDEX(Parameters!$X$2:$AI$17,MATCH(Calculations!$A6,Parameters!$A$2:$A$17,0),MONTH(Calculations!AE$3)),1/12))</f>
        <v/>
      </c>
      <c r="AF6" s="22" t="str">
        <f>IF($A6=0,1/12,IFERROR(INDEX(Parameters!$X$2:$AI$17,MATCH(Calculations!$A6,Parameters!$A$2:$A$17,0),MONTH(Calculations!AF$3)),1/12))</f>
        <v/>
      </c>
      <c r="AG6" s="22" t="str">
        <f>IF($A6=0,1/12,IFERROR(INDEX(Parameters!$X$2:$AI$17,MATCH(Calculations!$A6,Parameters!$A$2:$A$17,0),MONTH(Calculations!AG$3)),1/12))</f>
        <v/>
      </c>
      <c r="AH6" s="22" t="str">
        <f>IF($A6=0,1/12,IFERROR(INDEX(Parameters!$X$2:$AI$17,MATCH(Calculations!$A6,Parameters!$A$2:$A$17,0),MONTH(Calculations!AH$3)),1/12))</f>
        <v/>
      </c>
      <c r="AI6" s="22" t="str">
        <f>IF($A6=0,1/12,IFERROR(INDEX(Parameters!$X$2:$AI$17,MATCH(Calculations!$A6,Parameters!$A$2:$A$17,0),MONTH(Calculations!AI$3)),1/12))</f>
        <v/>
      </c>
      <c r="AJ6" s="22" t="str">
        <f>IF($A6=0,1/12,IFERROR(INDEX(Parameters!$X$2:$AI$17,MATCH(Calculations!$A6,Parameters!$A$2:$A$17,0),MONTH(Calculations!AJ$3)),1/12))</f>
        <v/>
      </c>
      <c r="AK6" s="22" t="str">
        <f>IF($A6=0,1/12,IFERROR(INDEX(Parameters!$X$2:$AI$17,MATCH(Calculations!$A6,Parameters!$A$2:$A$17,0),MONTH(Calculations!AK$3)),1/12))</f>
        <v/>
      </c>
      <c r="AL6" s="22" t="str">
        <f>IF($A6=0,1/12,IFERROR(INDEX(Parameters!$X$2:$AI$17,MATCH(Calculations!$A6,Parameters!$A$2:$A$17,0),MONTH(Calculations!AL$3)),1/12))</f>
        <v/>
      </c>
      <c r="AM6" s="22" t="str">
        <f>IF($A6=0,1/12,IFERROR(INDEX(Parameters!$X$2:$AI$17,MATCH(Calculations!$A6,Parameters!$A$2:$A$17,0),MONTH(Calculations!AM$3)),1/12))</f>
        <v/>
      </c>
      <c r="AN6" s="22" t="str">
        <f>IF($A6=0,1/12,IFERROR(INDEX(Parameters!$X$2:$AI$17,MATCH(Calculations!$A6,Parameters!$A$2:$A$17,0),MONTH(Calculations!AN$3)),1/12))</f>
        <v/>
      </c>
      <c r="AO6" s="22" t="str">
        <f>IF($A6=0,1/12,IFERROR(INDEX(Parameters!$X$2:$AI$17,MATCH(Calculations!$A6,Parameters!$A$2:$A$17,0),MONTH(Calculations!AO$3)),1/12))</f>
        <v/>
      </c>
      <c r="AP6" s="22" t="str">
        <f>IF($A6=0,1/12,IFERROR(INDEX(Parameters!$X$2:$AI$17,MATCH(Calculations!$A6,Parameters!$A$2:$A$17,0),MONTH(Calculations!AP$3)),1/12))</f>
        <v/>
      </c>
      <c r="AQ6" s="22" t="str">
        <f>IF($A6=0,1/12,IFERROR(INDEX(Parameters!$X$2:$AI$17,MATCH(Calculations!$A6,Parameters!$A$2:$A$17,0),MONTH(Calculations!AQ$3)),1/12))</f>
        <v/>
      </c>
      <c r="AR6" s="22" t="str">
        <f>IF($A6=0,1/12,IFERROR(INDEX(Parameters!$X$2:$AI$17,MATCH(Calculations!$A6,Parameters!$A$2:$A$17,0),MONTH(Calculations!AR$3)),1/12))</f>
        <v/>
      </c>
      <c r="AS6" s="22" t="str">
        <f>IF($A6=0,1/12,IFERROR(INDEX(Parameters!$X$2:$AI$17,MATCH(Calculations!$A6,Parameters!$A$2:$A$17,0),MONTH(Calculations!AS$3)),1/12))</f>
        <v/>
      </c>
      <c r="AT6" s="22" t="str">
        <f>IF($A6=0,1/12,IFERROR(INDEX(Parameters!$X$2:$AI$17,MATCH(Calculations!$A6,Parameters!$A$2:$A$17,0),MONTH(Calculations!AT$3)),1/12))</f>
        <v/>
      </c>
      <c r="AU6" s="22" t="str">
        <f>IF($A6=0,1/12,IFERROR(INDEX(Parameters!$X$2:$AI$17,MATCH(Calculations!$A6,Parameters!$A$2:$A$17,0),MONTH(Calculations!AU$3)),1/12))</f>
        <v/>
      </c>
      <c r="AV6" s="22" t="str">
        <f>IF($A6=0,1/12,IFERROR(INDEX(Parameters!$X$2:$AI$17,MATCH(Calculations!$A6,Parameters!$A$2:$A$17,0),MONTH(Calculations!AV$3)),1/12))</f>
        <v/>
      </c>
      <c r="AW6" s="22" t="str">
        <f>IF($A6=0,1/12,IFERROR(INDEX(Parameters!$X$2:$AI$17,MATCH(Calculations!$A6,Parameters!$A$2:$A$17,0),MONTH(Calculations!AW$3)),1/12))</f>
        <v/>
      </c>
      <c r="AX6" s="22" t="str">
        <f>IF($A6=0,1/12,IFERROR(INDEX(Parameters!$X$2:$AI$17,MATCH(Calculations!$A6,Parameters!$A$2:$A$17,0),MONTH(Calculations!AX$3)),1/12))</f>
        <v/>
      </c>
      <c r="AY6" s="22" t="str">
        <f>IF($A6=0,1/12,IFERROR(INDEX(Parameters!$X$2:$AI$17,MATCH(Calculations!$A6,Parameters!$A$2:$A$17,0),MONTH(Calculations!AY$3)),1/12))</f>
        <v/>
      </c>
      <c r="AZ6" s="22" t="str">
        <f>IF($A6=0,1/12,IFERROR(INDEX(Parameters!$X$2:$AI$17,MATCH(Calculations!$A6,Parameters!$A$2:$A$17,0),MONTH(Calculations!AZ$3)),1/12))</f>
        <v/>
      </c>
    </row>
    <row r="7" spans="1:52" s="21" customFormat="1">
      <c r="A7" s="16">
        <f>Inputs!A10</f>
        <v/>
      </c>
      <c r="B7" s="39" t="str">
        <f>IFERROR(IF(DATE(YEAR(Inputs!$B$76),VLOOKUP(VLOOKUP(A7,Inputs!$A$7:$J$11,MATCH(Inputs!$J$6,Inputs!$A$6:$N$6,0),0),Parameters!$C$79:$D$90,2,0)+1,1)&gt;DATE(YEAR(Inputs!$B$76),MONTH(Inputs!$B$76),DAY(Inputs!$B$76)),DATE(YEAR(Inputs!$B$76),VLOOKUP(VLOOKUP(A7,Inputs!$A$7:$J$11,MATCH(Inputs!$J$6,Inputs!$A$6:$N$6,0),0),Parameters!$C$79:$D$90,2,0),1),DATE(YEAR(Inputs!$B$76)+1,VLOOKUP(VLOOKUP(A7,Inputs!$A$7:$J$11,MATCH(Inputs!$J$6,Inputs!$A$6:$N$6,0),0),Parameters!$C$79:$D$90,2,0),1)),"")</f>
        <v/>
      </c>
      <c r="C7" s="39" t="str">
        <f>IFERROR(DATE(YEAR(B7),MONTH(B7)+ROUND(T7/2,0),DAY(B7)),B7)</f>
        <v/>
      </c>
      <c r="D7" s="39" t="str">
        <f>IFERROR(DATE(YEAR(B7),MONTH(B7)+T7,DAY(B7)),"")</f>
        <v/>
      </c>
      <c r="E7" s="39" t="str">
        <f>IFERROR(IF($S7=0,"",IF($S7=2,DATE(YEAR(B7),MONTH(B7)+6,DAY(B7)),IF($S7=1,B7,""))),"")</f>
        <v/>
      </c>
      <c r="F7" s="39" t="str">
        <f>IFERROR(IF($S7=0,"",IF($S7=2,DATE(YEAR(C7),MONTH(C7)+6,DAY(C7)),IF($S7=1,C7,""))),"")</f>
        <v/>
      </c>
      <c r="G7" s="39" t="str">
        <f>IFERROR(IF($S7=0,"",IF($S7=2,DATE(YEAR(D7),MONTH(D7)+6,DAY(D7)),IF($S7=1,D7,""))),"")</f>
        <v/>
      </c>
      <c r="H7" s="16">
        <f>Inputs!C10</f>
        <v/>
      </c>
      <c r="I7" s="138" t="str">
        <f>IFERROR(VLOOKUP(Inputs!E10,Parameters!$J$77:$K$81,2,0),"")</f>
        <v/>
      </c>
      <c r="J7" s="27" t="str">
        <f>IFERROR(Inputs!G10/Calculations!H7,"")</f>
        <v/>
      </c>
      <c r="K7" s="27" t="str">
        <f>IFERROR(INDEX(Parameters!$A$3:$V$17,MATCH(Calculations!$A7,Parameters!$A$3:$A$17,0),MATCH(Parameters!$I$3,Parameters!$A$3:$V$3,0)),0)</f>
        <v/>
      </c>
      <c r="L7" s="91">
        <f>IFERROR(IF(A7="Other crops",Inputs!D10/Calculations!H7,IF(NOT(ISERROR(MATCH(Inputs!A10,Parameters!$D$52:$I$52,0))),INDEX(Parameters!$B$53:$I$71,MATCH(Calculations!$J$32,Parameters!$B$53:$B$71,0),MATCH(Parameters!$D$53,Parameters!$B$53:$I$53,0)),INDEX(Parameters!$A$3:$V$17,MATCH(Calculations!$A7,Parameters!$A$3:$A$17,0),MATCH(Parameters!$B$3,Parameters!$A$3:$V$3,0)))*(1+IF(I7="Yes",INDEX(Parameters!$A$3:$V$17,MATCH(Calculations!$A7,Parameters!$A$3:$A$17,0),MATCH(Parameters!$C$3,Parameters!$A$3:$V$3,0)),0))*(1+IF(Inputs!H10="Yes",INDEX(Parameters!$A$3:$V$17,MATCH(Calculations!$A7,Parameters!$A$3:$A$17,0),MATCH(Parameters!$F$3,Parameters!$A$3:$V$3,0)),0))*(1+IF(J7=0,0,IF(J7/K7&lt;0.5,INDEX(Parameters!$A$3:$V$17,MATCH(Calculations!$A7,Parameters!$A$3:$A$17,0),MATCH(Parameters!$D$3,Parameters!$A$3:$V$3,0)),IFERROR(INDEX(Parameters!$A$3:$V$17,MATCH(Calculations!$A7,Parameters!$A$3:$A$17,0),MATCH(Parameters!$E$3,Parameters!$A$3:$V$3,0)),0)))))*IFERROR(IF(AND(INDEX(Parameters!$B$53:$G$71,MATCH(Calculations!$J$32,Parameters!$B$53:$B$71,0),MATCH(Parameters!$G$53,Parameters!$B$53:$G$53,0))="Yes",OR(Inputs!I10="No",Inputs!I10="")),INDEX(Parameters!$A$3:$AI$17,MATCH(Inputs!A10,Parameters!$A$3:$A$17,0),MATCH(Parameters!$H$3,Parameters!$A$3:$AI$3,0)),1),1),0)</f>
        <v>0</v>
      </c>
      <c r="M7" s="30">
        <f>L7*H7</f>
        <v>0</v>
      </c>
      <c r="N7" s="22">
        <f>Calculations!U7</f>
        <v>0</v>
      </c>
      <c r="O7" s="30">
        <f>IFERROR(IF(IF(A7="Other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="",0,IF(A7="Other crops",Inputs!L10,IF(I7="No",INDEX(Parameters!$A$3:$V$17,MATCH(Calculations!$A7,Parameters!$A$3:$A$17,0),MATCH(Parameters!$S$3,Parameters!$A$3:$V$3,0)),INDEX(Parameters!$A$3:$V$17,MATCH(Calculations!$A7,Parameters!$A$3:$A$17,0),MATCH(Parameters!$T$3,Parameters!$A$3:$V$3,0))))),0)</f>
        <v>0</v>
      </c>
      <c r="P7" s="22" t="str">
        <f>IFERROR(INDEX(Parameters!$A$3:$V$17,MATCH(Calculations!$A7,Parameters!$A$3:$A$17,0),MATCH($P$3,Parameters!$A$3:$V$3,0)),0)</f>
        <v/>
      </c>
      <c r="Q7" s="34">
        <f>IFERROR(M7*O7*(1-N7)*MAX(S7,1),0)</f>
        <v>0</v>
      </c>
      <c r="R7" s="22">
        <f>IFERROR(IF(INDEX(Parameters!$A$3:$V$17,MATCH(Calculations!$A7,Parameters!$A$3:$A$17,0),MATCH($R$3,Parameters!$A$3:$V$3,0))="",0,INDEX(Parameters!$A$3:$V$17,MATCH(Calculations!$A7,Parameters!$A$3:$A$17,0),MATCH($R$3,Parameters!$A$3:$V$3,0))),0)</f>
        <v>0</v>
      </c>
      <c r="S7" s="30" t="str">
        <f>IF(ISERROR(MATCH(Inputs!A10,Parameters!$D$52:$I$52,0)),IF(T7="","",IF(T7="N/A",IF(Inputs!J10&lt;&gt;Parameters!$C$78,0,2),IF(T7&lt;6,2,1))),INDEX(Parameters!$B$53:$I$71,MATCH(Calculations!$J$32,Parameters!$B$53:$B$71,0),MATCH(Parameters!$E$53,Parameters!$B$53:$I$53,0)))</f>
        <v/>
      </c>
      <c r="T7" s="30" t="str">
        <f>IF(ISERROR(MATCH(Inputs!A10,Parameters!$D$52:$I$52,0)),IFERROR(INDEX(Parameters!$A$3:$AI$17,MATCH(Inputs!A10,Parameters!$A$3:$A$17,0),MATCH(Parameters!$W$3,Parameters!$A$3:$AI$3,0)),IFERROR(IF(Inputs!K10&lt;&gt;Parameters!$C$78,MOD(VLOOKUP(Inputs!K10,Parameters!$C$79:$D$90,2,0)-MONTH(Calculations!B7),12),"N/A"),"")),INDEX(Parameters!$B$53:$I$71,MATCH(Calculations!$J$32,Parameters!$B$53:$B$71,0),MATCH(Parameters!$F$53,Parameters!$B$53:$I$53,0)))</f>
        <v/>
      </c>
      <c r="U7" s="22">
        <f>Inputs!M10/100</f>
        <v>0</v>
      </c>
      <c r="V7" s="34">
        <f>IFERROR(IF(Inputs!E10="Yes",INDEX(Parameters!$A$3:$V$17,MATCH(Calculations!$A7,Parameters!$A$3:$A$17,0),MATCH(Parameters!$N$3,Parameters!$A$3:$V$3,0)),INDEX(Parameters!$A$3:$V$17,MATCH(Calculations!$A7,Parameters!$A$3:$A$17,0),MATCH(Parameters!$M$3,Parameters!$A$3:$V$3,0)))*INDEX(Parameters!$A$3:$V$17,MATCH(Calculations!$A7,Parameters!$A$3:$A$17,0),MATCH(Parameters!$K$3,Parameters!$A$3:$V$3,0)),SUMPRODUCT(Parameters!$K$4:$K$17,Parameters!$M$4:$M$17)/COUNTIF(Parameters!$K$4:$K$17,"&gt;0"))*Calculations!H7</f>
        <v>0</v>
      </c>
      <c r="W7" s="34">
        <f>IFERROR(J7*H7*Parameters!$B$35+IF(OR(Inputs!F10=Parameters!$E$78,Inputs!F10=Parameters!$E$80),Calculations!H7*Parameters!$B$36,0),0)</f>
        <v>0</v>
      </c>
      <c r="X7" s="34">
        <f>IFERROR(IF(J7/K7&gt;0.5,H7*INDEX(Parameters!$A$3:$AI$17,MATCH(Calculations!A7,Parameters!$A$3:$A$17,0),MATCH(Parameters!$J$3,Parameters!$A$3:$AI$3,0)),0),0)</f>
        <v>0</v>
      </c>
      <c r="Y7" s="34">
        <f>IF(Inputs!H10="Yes",IFERROR(H7*INDEX(Parameters!$A$3:$AI$17,MATCH(Calculations!A7,Parameters!$A$3:$A$17,0),MATCH(Parameters!$P$3,Parameters!$A$3:$AI$3,0)),AVERAGE(Parameters!$P$4:$P$17)),0)</f>
        <v>0</v>
      </c>
      <c r="Z7" s="34">
        <f>IF(Inputs!I10=Parameters!$F$78,H7*INDEX(Parameters!$A$3:$AI$18,MATCH(Calculations!A7,Parameters!$A$3:$A$18,0),MATCH(Parameters!$Q$3,Parameters!$A$3:$AI$3,0)),0)</f>
        <v>0</v>
      </c>
      <c r="AA7" s="34">
        <f>IFERROR(IF(Inputs!N10&gt;0,INDEX(Parameters!$A$3:$AI$17,MATCH(Calculations!A7,Parameters!$A$3:$A$17,0),MATCH(Parameters!$R$3,Parameters!$A$3:$AI$3,0)),0)*M7/S7,0)</f>
        <v>0</v>
      </c>
      <c r="AB7" s="34" t="str">
        <f>H7*IFERROR(INDEX(Parameters!$A$3:$AI$17,MATCH(Calculations!A7,Parameters!$A$3:$A$17,0),MATCH(Parameters!$O$3,Parameters!$A$3:$AI$3,0)),AVERAGE(Parameters!$O$4:$O$17))*(1-Inputs!$B$25/100)</f>
        <v>0</v>
      </c>
      <c r="AC7" s="22">
        <f>IF($A7=0,1/12,IFERROR(INDEX(Parameters!$X$2:$AI$17,MATCH(Calculations!$A7,Parameters!$A$2:$A$17,0),MONTH(Calculations!AC$3)),1/12))</f>
        <v>7</v>
      </c>
      <c r="AD7" s="22">
        <f>IF($A7=0,1/12,IFERROR(INDEX(Parameters!$X$2:$AI$17,MATCH(Calculations!$A7,Parameters!$A$2:$A$17,0),MONTH(Calculations!AD$3)),1/12))</f>
        <v>8</v>
      </c>
      <c r="AE7" s="22">
        <f>IF($A7=0,1/12,IFERROR(INDEX(Parameters!$X$2:$AI$17,MATCH(Calculations!$A7,Parameters!$A$2:$A$17,0),MONTH(Calculations!AE$3)),1/12))</f>
        <v>9</v>
      </c>
      <c r="AF7" s="22">
        <f>IF($A7=0,1/12,IFERROR(INDEX(Parameters!$X$2:$AI$17,MATCH(Calculations!$A7,Parameters!$A$2:$A$17,0),MONTH(Calculations!AF$3)),1/12))</f>
        <v>10</v>
      </c>
      <c r="AG7" s="22">
        <f>IF($A7=0,1/12,IFERROR(INDEX(Parameters!$X$2:$AI$17,MATCH(Calculations!$A7,Parameters!$A$2:$A$17,0),MONTH(Calculations!AG$3)),1/12))</f>
        <v>11</v>
      </c>
      <c r="AH7" s="22">
        <f>IF($A7=0,1/12,IFERROR(INDEX(Parameters!$X$2:$AI$17,MATCH(Calculations!$A7,Parameters!$A$2:$A$17,0),MONTH(Calculations!AH$3)),1/12))</f>
        <v>12</v>
      </c>
      <c r="AI7" s="22">
        <f>IF($A7=0,1/12,IFERROR(INDEX(Parameters!$X$2:$AI$17,MATCH(Calculations!$A7,Parameters!$A$2:$A$17,0),MONTH(Calculations!AI$3)),1/12))</f>
        <v>1</v>
      </c>
      <c r="AJ7" s="22">
        <f>IF($A7=0,1/12,IFERROR(INDEX(Parameters!$X$2:$AI$17,MATCH(Calculations!$A7,Parameters!$A$2:$A$17,0),MONTH(Calculations!AJ$3)),1/12))</f>
        <v>2</v>
      </c>
      <c r="AK7" s="22">
        <f>IF($A7=0,1/12,IFERROR(INDEX(Parameters!$X$2:$AI$17,MATCH(Calculations!$A7,Parameters!$A$2:$A$17,0),MONTH(Calculations!AK$3)),1/12))</f>
        <v>3</v>
      </c>
      <c r="AL7" s="22">
        <f>IF($A7=0,1/12,IFERROR(INDEX(Parameters!$X$2:$AI$17,MATCH(Calculations!$A7,Parameters!$A$2:$A$17,0),MONTH(Calculations!AL$3)),1/12))</f>
        <v>4</v>
      </c>
      <c r="AM7" s="22">
        <f>IF($A7=0,1/12,IFERROR(INDEX(Parameters!$X$2:$AI$17,MATCH(Calculations!$A7,Parameters!$A$2:$A$17,0),MONTH(Calculations!AM$3)),1/12))</f>
        <v>5</v>
      </c>
      <c r="AN7" s="22">
        <f>IF($A7=0,1/12,IFERROR(INDEX(Parameters!$X$2:$AI$17,MATCH(Calculations!$A7,Parameters!$A$2:$A$17,0),MONTH(Calculations!AN$3)),1/12))</f>
        <v>6</v>
      </c>
      <c r="AO7" s="22">
        <f>IF($A7=0,1/12,IFERROR(INDEX(Parameters!$X$2:$AI$17,MATCH(Calculations!$A7,Parameters!$A$2:$A$17,0),MONTH(Calculations!AO$3)),1/12))</f>
        <v>7</v>
      </c>
      <c r="AP7" s="22">
        <f>IF($A7=0,1/12,IFERROR(INDEX(Parameters!$X$2:$AI$17,MATCH(Calculations!$A7,Parameters!$A$2:$A$17,0),MONTH(Calculations!AP$3)),1/12))</f>
        <v>8</v>
      </c>
      <c r="AQ7" s="22">
        <f>IF($A7=0,1/12,IFERROR(INDEX(Parameters!$X$2:$AI$17,MATCH(Calculations!$A7,Parameters!$A$2:$A$17,0),MONTH(Calculations!AQ$3)),1/12))</f>
        <v>9</v>
      </c>
      <c r="AR7" s="22">
        <f>IF($A7=0,1/12,IFERROR(INDEX(Parameters!$X$2:$AI$17,MATCH(Calculations!$A7,Parameters!$A$2:$A$17,0),MONTH(Calculations!AR$3)),1/12))</f>
        <v>10</v>
      </c>
      <c r="AS7" s="22">
        <f>IF($A7=0,1/12,IFERROR(INDEX(Parameters!$X$2:$AI$17,MATCH(Calculations!$A7,Parameters!$A$2:$A$17,0),MONTH(Calculations!AS$3)),1/12))</f>
        <v>11</v>
      </c>
      <c r="AT7" s="22">
        <f>IF($A7=0,1/12,IFERROR(INDEX(Parameters!$X$2:$AI$17,MATCH(Calculations!$A7,Parameters!$A$2:$A$17,0),MONTH(Calculations!AT$3)),1/12))</f>
        <v>12</v>
      </c>
      <c r="AU7" s="22">
        <f>IF($A7=0,1/12,IFERROR(INDEX(Parameters!$X$2:$AI$17,MATCH(Calculations!$A7,Parameters!$A$2:$A$17,0),MONTH(Calculations!AU$3)),1/12))</f>
        <v>1</v>
      </c>
      <c r="AV7" s="22">
        <f>IF($A7=0,1/12,IFERROR(INDEX(Parameters!$X$2:$AI$17,MATCH(Calculations!$A7,Parameters!$A$2:$A$17,0),MONTH(Calculations!AV$3)),1/12))</f>
        <v>2</v>
      </c>
      <c r="AW7" s="22">
        <f>IF($A7=0,1/12,IFERROR(INDEX(Parameters!$X$2:$AI$17,MATCH(Calculations!$A7,Parameters!$A$2:$A$17,0),MONTH(Calculations!AW$3)),1/12))</f>
        <v>3</v>
      </c>
      <c r="AX7" s="22">
        <f>IF($A7=0,1/12,IFERROR(INDEX(Parameters!$X$2:$AI$17,MATCH(Calculations!$A7,Parameters!$A$2:$A$17,0),MONTH(Calculations!AX$3)),1/12))</f>
        <v>4</v>
      </c>
      <c r="AY7" s="22">
        <f>IF($A7=0,1/12,IFERROR(INDEX(Parameters!$X$2:$AI$17,MATCH(Calculations!$A7,Parameters!$A$2:$A$17,0),MONTH(Calculations!AY$3)),1/12))</f>
        <v>5</v>
      </c>
      <c r="AZ7" s="22">
        <f>IF($A7=0,1/12,IFERROR(INDEX(Parameters!$X$2:$AI$17,MATCH(Calculations!$A7,Parameters!$A$2:$A$17,0),MONTH(Calculations!AZ$3)),1/12))</f>
        <v>6</v>
      </c>
    </row>
    <row r="8" spans="1:52" s="21" customFormat="1">
      <c r="A8" s="23">
        <f>Inputs!A11</f>
        <v/>
      </c>
      <c r="B8" s="40" t="str">
        <f>IFERROR(IF(DATE(YEAR(Inputs!$B$76),VLOOKUP(VLOOKUP(A8,Inputs!$A$7:$J$11,MATCH(Inputs!$J$6,Inputs!$A$6:$N$6,0),0),Parameters!$C$79:$D$90,2,0)+1,1)&gt;DATE(YEAR(Inputs!$B$76),MONTH(Inputs!$B$76),DAY(Inputs!$B$76)),DATE(YEAR(Inputs!$B$76),VLOOKUP(VLOOKUP(A8,Inputs!$A$7:$J$11,MATCH(Inputs!$J$6,Inputs!$A$6:$N$6,0),0),Parameters!$C$79:$D$90,2,0),1),DATE(YEAR(Inputs!$B$76)+1,VLOOKUP(VLOOKUP(A8,Inputs!$A$7:$J$11,MATCH(Inputs!$J$6,Inputs!$A$6:$N$6,0),0),Parameters!$C$79:$D$90,2,0),1)),"")</f>
        <v/>
      </c>
      <c r="C8" s="40" t="str">
        <f>IFERROR(DATE(YEAR(B8),MONTH(B8)+ROUND(T8/2,0),DAY(B8)),B8)</f>
        <v/>
      </c>
      <c r="D8" s="40" t="str">
        <f>IFERROR(DATE(YEAR(B8),MONTH(B8)+T8,DAY(B8)),"")</f>
        <v/>
      </c>
      <c r="E8" s="40" t="str">
        <f>IFERROR(IF($S8=0,"",IF($S8=2,DATE(YEAR(B8),MONTH(B8)+6,DAY(B8)),IF($S8=1,B8,""))),"")</f>
        <v/>
      </c>
      <c r="F8" s="40" t="str">
        <f>IFERROR(IF($S8=0,"",IF($S8=2,DATE(YEAR(C8),MONTH(C8)+6,DAY(C8)),IF($S8=1,C8,""))),"")</f>
        <v/>
      </c>
      <c r="G8" s="40" t="str">
        <f>IFERROR(IF($S8=0,"",IF($S8=2,DATE(YEAR(D8),MONTH(D8)+6,DAY(D8)),IF($S8=1,D8,""))),"")</f>
        <v/>
      </c>
      <c r="H8" s="23">
        <f>Inputs!C11</f>
        <v/>
      </c>
      <c r="I8" s="119" t="str">
        <f>IFERROR(VLOOKUP(Inputs!E11,Parameters!$J$77:$K$81,2,0),"")</f>
        <v/>
      </c>
      <c r="J8" s="28" t="str">
        <f>IFERROR(Inputs!G11/Calculations!H8,"")</f>
        <v/>
      </c>
      <c r="K8" s="28" t="str">
        <f>IFERROR(INDEX(Parameters!$A$3:$V$17,MATCH(Calculations!$A8,Parameters!$A$3:$A$17,0),MATCH(Parameters!$I$3,Parameters!$A$3:$V$3,0)),0)</f>
        <v/>
      </c>
      <c r="L8" s="92">
        <f>IFERROR(IF(A8="Other crops",Inputs!D11/Calculations!H8,IF(NOT(ISERROR(MATCH(Inputs!A11,Parameters!$D$52:$I$52,0))),INDEX(Parameters!$B$53:$I$71,MATCH(Calculations!$J$32,Parameters!$B$53:$B$71,0),MATCH(Parameters!$D$53,Parameters!$B$53:$I$53,0)),INDEX(Parameters!$A$3:$V$17,MATCH(Calculations!$A8,Parameters!$A$3:$A$17,0),MATCH(Parameters!$B$3,Parameters!$A$3:$V$3,0)))*(1+IF(I8="Yes",INDEX(Parameters!$A$3:$V$17,MATCH(Calculations!$A8,Parameters!$A$3:$A$17,0),MATCH(Parameters!$C$3,Parameters!$A$3:$V$3,0)),0))*(1+IF(Inputs!H11="Yes",INDEX(Parameters!$A$3:$V$17,MATCH(Calculations!$A8,Parameters!$A$3:$A$17,0),MATCH(Parameters!$F$3,Parameters!$A$3:$V$3,0)),0))*(1+IF(J8=0,0,IF(J8/K8&lt;0.5,INDEX(Parameters!$A$3:$V$17,MATCH(Calculations!$A8,Parameters!$A$3:$A$17,0),MATCH(Parameters!$D$3,Parameters!$A$3:$V$3,0)),IFERROR(INDEX(Parameters!$A$3:$V$17,MATCH(Calculations!$A8,Parameters!$A$3:$A$17,0),MATCH(Parameters!$E$3,Parameters!$A$3:$V$3,0)),0)))))*IFERROR(IF(AND(INDEX(Parameters!$B$53:$G$71,MATCH(Calculations!$J$32,Parameters!$B$53:$B$71,0),MATCH(Parameters!$G$53,Parameters!$B$53:$G$53,0))="Yes",OR(Inputs!I11="No",Inputs!I11="")),INDEX(Parameters!$A$3:$AI$17,MATCH(Inputs!A11,Parameters!$A$3:$A$17,0),MATCH(Parameters!$H$3,Parameters!$A$3:$AI$3,0)),1),1),0)</f>
        <v>0</v>
      </c>
      <c r="M8" s="31">
        <f>L8*H8</f>
        <v>0</v>
      </c>
      <c r="N8" s="24">
        <f>Calculations!U8</f>
        <v>0</v>
      </c>
      <c r="O8" s="31">
        <f>IFERROR(IF(IF(A8="Other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="",0,IF(A8="Other crops",Inputs!L11,IF(I8="No",INDEX(Parameters!$A$3:$V$17,MATCH(Calculations!$A8,Parameters!$A$3:$A$17,0),MATCH(Parameters!$S$3,Parameters!$A$3:$V$3,0)),INDEX(Parameters!$A$3:$V$17,MATCH(Calculations!$A8,Parameters!$A$3:$A$17,0),MATCH(Parameters!$T$3,Parameters!$A$3:$V$3,0))))),0)</f>
        <v>0</v>
      </c>
      <c r="P8" s="24" t="str">
        <f>IFERROR(INDEX(Parameters!$A$3:$V$17,MATCH(Calculations!$A8,Parameters!$A$3:$A$17,0),MATCH($P$3,Parameters!$A$3:$V$3,0)),0)</f>
        <v/>
      </c>
      <c r="Q8" s="35">
        <f>IFERROR(M8*O8*(1-N8)*MAX(S8,1),0)</f>
        <v>0</v>
      </c>
      <c r="R8" s="24">
        <f>IFERROR(IF(INDEX(Parameters!$A$3:$V$17,MATCH(Calculations!$A8,Parameters!$A$3:$A$17,0),MATCH($R$3,Parameters!$A$3:$V$3,0))="",0,INDEX(Parameters!$A$3:$V$17,MATCH(Calculations!$A8,Parameters!$A$3:$A$17,0),MATCH($R$3,Parameters!$A$3:$V$3,0))),0)</f>
        <v>0</v>
      </c>
      <c r="S8" s="31" t="str">
        <f>IF(ISERROR(MATCH(Inputs!A11,Parameters!$D$52:$I$52,0)),IF(T8="","",IF(T8="N/A",IF(Inputs!J11&lt;&gt;Parameters!$C$78,0,2),IF(T8&lt;6,2,1))),INDEX(Parameters!$B$53:$I$71,MATCH(Calculations!$J$32,Parameters!$B$53:$B$71,0),MATCH(Parameters!$E$53,Parameters!$B$53:$I$53,0)))</f>
        <v/>
      </c>
      <c r="T8" s="31" t="str">
        <f>IF(ISERROR(MATCH(Inputs!A11,Parameters!$D$52:$I$52,0)),IFERROR(INDEX(Parameters!$A$3:$AI$17,MATCH(Inputs!A11,Parameters!$A$3:$A$17,0),MATCH(Parameters!$W$3,Parameters!$A$3:$AI$3,0)),IFERROR(IF(Inputs!K11&lt;&gt;Parameters!$C$78,MOD(VLOOKUP(Inputs!K11,Parameters!$C$79:$D$90,2,0)-MONTH(Calculations!B8),12),"N/A"),"")),INDEX(Parameters!$B$53:$I$71,MATCH(Calculations!$J$32,Parameters!$B$53:$B$71,0),MATCH(Parameters!$F$53,Parameters!$B$53:$I$53,0)))</f>
        <v/>
      </c>
      <c r="U8" s="24">
        <f>Inputs!M11/100</f>
        <v>0</v>
      </c>
      <c r="V8" s="35">
        <f>IFERROR(IF(Inputs!E11="Yes",INDEX(Parameters!$A$3:$V$17,MATCH(Calculations!$A8,Parameters!$A$3:$A$17,0),MATCH(Parameters!$N$3,Parameters!$A$3:$V$3,0)),INDEX(Parameters!$A$3:$V$17,MATCH(Calculations!$A8,Parameters!$A$3:$A$17,0),MATCH(Parameters!$M$3,Parameters!$A$3:$V$3,0)))*INDEX(Parameters!$A$3:$V$17,MATCH(Calculations!$A8,Parameters!$A$3:$A$17,0),MATCH(Parameters!$K$3,Parameters!$A$3:$V$3,0)),SUMPRODUCT(Parameters!$K$4:$K$17,Parameters!$M$4:$M$17)/COUNTIF(Parameters!$K$4:$K$17,"&gt;0"))*Calculations!H8</f>
        <v>0</v>
      </c>
      <c r="W8" s="35">
        <f>IFERROR(J8*H8*Parameters!$B$35+IF(OR(Inputs!F11=Parameters!$E$78,Inputs!F11=Parameters!$E$80),Calculations!H8*Parameters!$B$36,0),0)</f>
        <v>0</v>
      </c>
      <c r="X8" s="35">
        <f>IFERROR(IF(J8/K8&gt;0.5,H8*INDEX(Parameters!$A$3:$AI$17,MATCH(Calculations!A8,Parameters!$A$3:$A$17,0),MATCH(Parameters!$J$3,Parameters!$A$3:$AI$3,0)),0),0)</f>
        <v>0</v>
      </c>
      <c r="Y8" s="35">
        <f>IF(Inputs!H11="Yes",IFERROR(H8*INDEX(Parameters!$A$3:$AI$17,MATCH(Calculations!A8,Parameters!$A$3:$A$17,0),MATCH(Parameters!$P$3,Parameters!$A$3:$AI$3,0)),AVERAGE(Parameters!$P$4:$P$17)),0)</f>
        <v>0</v>
      </c>
      <c r="Z8" s="35">
        <f>IF(Inputs!I11=Parameters!$F$78,H8*INDEX(Parameters!$A$3:$AI$18,MATCH(Calculations!A8,Parameters!$A$3:$A$18,0),MATCH(Parameters!$Q$3,Parameters!$A$3:$AI$3,0)),0)</f>
        <v>0</v>
      </c>
      <c r="AA8" s="35">
        <f>IFERROR(IF(Inputs!N11&gt;0,INDEX(Parameters!$A$3:$AI$17,MATCH(Calculations!A8,Parameters!$A$3:$A$17,0),MATCH(Parameters!$R$3,Parameters!$A$3:$AI$3,0)),0)*M8/S8,0)</f>
        <v>0</v>
      </c>
      <c r="AB8" s="35" t="str">
        <f>H8*IFERROR(INDEX(Parameters!$A$3:$AI$17,MATCH(Calculations!A8,Parameters!$A$3:$A$17,0),MATCH(Parameters!$O$3,Parameters!$A$3:$AI$3,0)),AVERAGE(Parameters!$O$4:$O$17))*(1-Inputs!$B$25/100)</f>
        <v>0</v>
      </c>
      <c r="AC8" s="24">
        <f>IF($A8=0,1/12,IFERROR(INDEX(Parameters!$X$2:$AI$17,MATCH(Calculations!$A8,Parameters!$A$2:$A$17,0),MONTH(Calculations!AC$3)),1/12))</f>
        <v>7</v>
      </c>
      <c r="AD8" s="24">
        <f>IF($A8=0,1/12,IFERROR(INDEX(Parameters!$X$2:$AI$17,MATCH(Calculations!$A8,Parameters!$A$2:$A$17,0),MONTH(Calculations!AD$3)),1/12))</f>
        <v>8</v>
      </c>
      <c r="AE8" s="24">
        <f>IF($A8=0,1/12,IFERROR(INDEX(Parameters!$X$2:$AI$17,MATCH(Calculations!$A8,Parameters!$A$2:$A$17,0),MONTH(Calculations!AE$3)),1/12))</f>
        <v>9</v>
      </c>
      <c r="AF8" s="24">
        <f>IF($A8=0,1/12,IFERROR(INDEX(Parameters!$X$2:$AI$17,MATCH(Calculations!$A8,Parameters!$A$2:$A$17,0),MONTH(Calculations!AF$3)),1/12))</f>
        <v>10</v>
      </c>
      <c r="AG8" s="24">
        <f>IF($A8=0,1/12,IFERROR(INDEX(Parameters!$X$2:$AI$17,MATCH(Calculations!$A8,Parameters!$A$2:$A$17,0),MONTH(Calculations!AG$3)),1/12))</f>
        <v>11</v>
      </c>
      <c r="AH8" s="24">
        <f>IF($A8=0,1/12,IFERROR(INDEX(Parameters!$X$2:$AI$17,MATCH(Calculations!$A8,Parameters!$A$2:$A$17,0),MONTH(Calculations!AH$3)),1/12))</f>
        <v>12</v>
      </c>
      <c r="AI8" s="24">
        <f>IF($A8=0,1/12,IFERROR(INDEX(Parameters!$X$2:$AI$17,MATCH(Calculations!$A8,Parameters!$A$2:$A$17,0),MONTH(Calculations!AI$3)),1/12))</f>
        <v>1</v>
      </c>
      <c r="AJ8" s="24">
        <f>IF($A8=0,1/12,IFERROR(INDEX(Parameters!$X$2:$AI$17,MATCH(Calculations!$A8,Parameters!$A$2:$A$17,0),MONTH(Calculations!AJ$3)),1/12))</f>
        <v>2</v>
      </c>
      <c r="AK8" s="24">
        <f>IF($A8=0,1/12,IFERROR(INDEX(Parameters!$X$2:$AI$17,MATCH(Calculations!$A8,Parameters!$A$2:$A$17,0),MONTH(Calculations!AK$3)),1/12))</f>
        <v>3</v>
      </c>
      <c r="AL8" s="24">
        <f>IF($A8=0,1/12,IFERROR(INDEX(Parameters!$X$2:$AI$17,MATCH(Calculations!$A8,Parameters!$A$2:$A$17,0),MONTH(Calculations!AL$3)),1/12))</f>
        <v>4</v>
      </c>
      <c r="AM8" s="24">
        <f>IF($A8=0,1/12,IFERROR(INDEX(Parameters!$X$2:$AI$17,MATCH(Calculations!$A8,Parameters!$A$2:$A$17,0),MONTH(Calculations!AM$3)),1/12))</f>
        <v>5</v>
      </c>
      <c r="AN8" s="24">
        <f>IF($A8=0,1/12,IFERROR(INDEX(Parameters!$X$2:$AI$17,MATCH(Calculations!$A8,Parameters!$A$2:$A$17,0),MONTH(Calculations!AN$3)),1/12))</f>
        <v>6</v>
      </c>
      <c r="AO8" s="24">
        <f>IF($A8=0,1/12,IFERROR(INDEX(Parameters!$X$2:$AI$17,MATCH(Calculations!$A8,Parameters!$A$2:$A$17,0),MONTH(Calculations!AO$3)),1/12))</f>
        <v>7</v>
      </c>
      <c r="AP8" s="24">
        <f>IF($A8=0,1/12,IFERROR(INDEX(Parameters!$X$2:$AI$17,MATCH(Calculations!$A8,Parameters!$A$2:$A$17,0),MONTH(Calculations!AP$3)),1/12))</f>
        <v>8</v>
      </c>
      <c r="AQ8" s="24">
        <f>IF($A8=0,1/12,IFERROR(INDEX(Parameters!$X$2:$AI$17,MATCH(Calculations!$A8,Parameters!$A$2:$A$17,0),MONTH(Calculations!AQ$3)),1/12))</f>
        <v>9</v>
      </c>
      <c r="AR8" s="24">
        <f>IF($A8=0,1/12,IFERROR(INDEX(Parameters!$X$2:$AI$17,MATCH(Calculations!$A8,Parameters!$A$2:$A$17,0),MONTH(Calculations!AR$3)),1/12))</f>
        <v>10</v>
      </c>
      <c r="AS8" s="24">
        <f>IF($A8=0,1/12,IFERROR(INDEX(Parameters!$X$2:$AI$17,MATCH(Calculations!$A8,Parameters!$A$2:$A$17,0),MONTH(Calculations!AS$3)),1/12))</f>
        <v>11</v>
      </c>
      <c r="AT8" s="24">
        <f>IF($A8=0,1/12,IFERROR(INDEX(Parameters!$X$2:$AI$17,MATCH(Calculations!$A8,Parameters!$A$2:$A$17,0),MONTH(Calculations!AT$3)),1/12))</f>
        <v>12</v>
      </c>
      <c r="AU8" s="24">
        <f>IF($A8=0,1/12,IFERROR(INDEX(Parameters!$X$2:$AI$17,MATCH(Calculations!$A8,Parameters!$A$2:$A$17,0),MONTH(Calculations!AU$3)),1/12))</f>
        <v>1</v>
      </c>
      <c r="AV8" s="24">
        <f>IF($A8=0,1/12,IFERROR(INDEX(Parameters!$X$2:$AI$17,MATCH(Calculations!$A8,Parameters!$A$2:$A$17,0),MONTH(Calculations!AV$3)),1/12))</f>
        <v>2</v>
      </c>
      <c r="AW8" s="24">
        <f>IF($A8=0,1/12,IFERROR(INDEX(Parameters!$X$2:$AI$17,MATCH(Calculations!$A8,Parameters!$A$2:$A$17,0),MONTH(Calculations!AW$3)),1/12))</f>
        <v>3</v>
      </c>
      <c r="AX8" s="24">
        <f>IF($A8=0,1/12,IFERROR(INDEX(Parameters!$X$2:$AI$17,MATCH(Calculations!$A8,Parameters!$A$2:$A$17,0),MONTH(Calculations!AX$3)),1/12))</f>
        <v>4</v>
      </c>
      <c r="AY8" s="24">
        <f>IF($A8=0,1/12,IFERROR(INDEX(Parameters!$X$2:$AI$17,MATCH(Calculations!$A8,Parameters!$A$2:$A$17,0),MONTH(Calculations!AY$3)),1/12))</f>
        <v>5</v>
      </c>
      <c r="AZ8" s="24">
        <f>IF($A8=0,1/12,IFERROR(INDEX(Parameters!$X$2:$AI$17,MATCH(Calculations!$A8,Parameters!$A$2:$A$17,0),MONTH(Calculations!AZ$3)),1/12))</f>
        <v>6</v>
      </c>
    </row>
    <row r="9" spans="1:52">
      <c r="B9" s="43"/>
      <c r="C9" s="43"/>
      <c r="M9" s="30"/>
    </row>
    <row r="10" spans="1:52">
      <c r="B10" s="43"/>
      <c r="C10" s="43"/>
      <c r="M10" s="30"/>
    </row>
    <row r="11" spans="1:52">
      <c r="A11" s="3" t="s">
        <v>62</v>
      </c>
      <c r="B11" s="9"/>
      <c r="C11" s="9"/>
      <c r="D11" s="9"/>
      <c r="E11" s="9"/>
      <c r="F11" s="9"/>
      <c r="G11" s="9"/>
      <c r="H11" s="9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4"/>
    </row>
    <row r="12" spans="1:52">
      <c r="B12" s="43"/>
      <c r="C12" s="43"/>
    </row>
    <row r="13" spans="1:52" customHeight="1" ht="60">
      <c r="A13" s="15" t="s">
        <v>104</v>
      </c>
      <c r="B13" s="15" t="s">
        <v>35</v>
      </c>
      <c r="C13" s="15" t="s">
        <v>210</v>
      </c>
      <c r="D13" s="15" t="s">
        <v>211</v>
      </c>
      <c r="E13" s="15" t="s">
        <v>212</v>
      </c>
      <c r="F13" s="15" t="s">
        <v>213</v>
      </c>
      <c r="G13" s="15" t="s">
        <v>214</v>
      </c>
      <c r="H13" s="15" t="s">
        <v>215</v>
      </c>
      <c r="I13" s="15" t="s">
        <v>216</v>
      </c>
      <c r="J13" s="15" t="s">
        <v>217</v>
      </c>
      <c r="K13" s="15" t="s">
        <v>218</v>
      </c>
      <c r="L13" s="15" t="s">
        <v>219</v>
      </c>
      <c r="M13" s="178" t="s">
        <v>220</v>
      </c>
      <c r="N13" s="178" t="s">
        <v>221</v>
      </c>
      <c r="O13" s="62" t="s">
        <v>222</v>
      </c>
      <c r="P13" s="62" t="s">
        <v>223</v>
      </c>
      <c r="Q13" s="62" t="s">
        <v>224</v>
      </c>
      <c r="R13" s="62" t="s">
        <v>225</v>
      </c>
      <c r="S13" s="62" t="s">
        <v>226</v>
      </c>
    </row>
    <row r="14" spans="1:52">
      <c r="A14" s="20" t="str">
        <f>Inputs!A19</f>
        <v>Cows_beef</v>
      </c>
      <c r="B14" s="20" t="str">
        <f>IFERROR(VLOOKUP(A14,Parameters!$A$23:$B$30,2,0),"")</f>
        <v>meat</v>
      </c>
      <c r="C14" s="20" t="str">
        <f>IF(Inputs!A19=Parameters!$A$30,Inputs!B19,A14&amp;": "&amp;B14)</f>
        <v>Cows_beef: meat</v>
      </c>
      <c r="D14" s="16">
        <f>Inputs!C19</f>
        <v>2</v>
      </c>
      <c r="E14" s="16">
        <f>Inputs!D19</f>
        <v/>
      </c>
      <c r="F14">
        <f>IFERROR(INDEX(Parameters!$A$22:$P$29,MATCH(Calculations!$A14,Parameters!$A$22:$A$29,0),MATCH(Parameters!$P$22,Parameters!$A$22:$P$22,0)),"")</f>
        <v>36</v>
      </c>
      <c r="G14" s="67">
        <f>IFERROR(IF(Inputs!F19="Yes",1+INDEX(Parameters!$A$22:$P$29,MATCH(Calculations!A14,Parameters!$A$22:$A$29,0),MATCH(Parameters!$G$22,Parameters!$A$22:$P$22,0)),1)*IF(Inputs!I19="Sometimes",1+INDEX(Parameters!$A$22:$P$29,MATCH(Calculations!A14,Parameters!$A$22:$A$29,0),MATCH(Parameters!$E$22,Parameters!$A$22:$P$22,0)),IF(Inputs!I19="Always",1+INDEX(Parameters!$A$22:$P$29,MATCH(Calculations!A14,Parameters!$A$22:$A$29,0),MATCH(Parameters!$F$22,Parameters!$A$22:$P$22,0)),1)),"")</f>
        <v>1.2</v>
      </c>
      <c r="H14" s="121">
        <f>IFERROR(IF(B14="meat",INDEX(Parameters!$A$22:$P$29,MATCH(Calculations!A14,Parameters!$A$22:$A$29,0),MATCH(Parameters!$I$22,Parameters!$A$22:$P$22,0))*G14,""),"")</f>
        <v>120</v>
      </c>
      <c r="I14" s="25">
        <f>IFERROR(IF(B14="meat",IF(Inputs!F19="Yes",INDEX(Parameters!$A$22:$P$29,MATCH(Calculations!$A14,Parameters!$A$22:$A$29,0),MATCH(Parameters!$K$22,Parameters!$A$22:$P$22,0)),INDEX(Parameters!$A$22:$P$29,MATCH(Calculations!$A14,Parameters!$A$22:$A$29,0),MATCH(Parameters!$J$22,Parameters!$A$22:$P$22,0))),""),"")</f>
        <v>230</v>
      </c>
      <c r="J14" s="125" t="str">
        <f>IF(B14&lt;&gt;"meat",IFERROR(INDEX(Parameters!$A$22:$P$29,MATCH(Calculations!A14,Parameters!$A$22:$A$29,0),MATCH(Parameters!$D$22,Parameters!$A$22:$P$22,0))*Calculations!G14,""),"")</f>
        <v/>
      </c>
      <c r="K14" s="27" t="str">
        <f>IFERROR(INDEX(Parameters!$A$22:$P$29,MATCH(Calculations!$A14,Parameters!$A$22:$A$29,0),MATCH(Parameters!$H$22,Parameters!$A$22:$P$22,0)),"")</f>
        <v>N/A</v>
      </c>
      <c r="L14" s="170"/>
      <c r="M14" s="60">
        <f>Inputs!J19/100</f>
        <v>0</v>
      </c>
      <c r="N14" s="179">
        <f>Inputs!K19/100</f>
        <v>0</v>
      </c>
      <c r="O14" s="63">
        <f>IFERROR(INDEX(Parameters!$A$41:$C$48,MATCH(Calculations!A14,Parameters!$A$41:$A$48,0),MATCH(Inputs!F19,Parameters!$A$41:$C$41,0)),0)</f>
        <v>25000</v>
      </c>
      <c r="P14" s="63">
        <f>IF(A14=Parameters!$A$30,Inputs!E19*Inputs!G19*(1-Calculations!N14),IFERROR(IFERROR(D14*Calculations!I14*H14*12/Calculations!F14*(1-Calculations!N14),E14*Calculations!J14*Calculations!K14*365*(1-Calculations!M14)),""))</f>
        <v>18400</v>
      </c>
      <c r="Q14" s="63">
        <f>IFERROR(D14*INDEX(Parameters!$A$22:$P$29,MATCH(Calculations!$A14,Parameters!$A$22:$A$29,0),MATCH(Parameters!$L$22,Parameters!$A$22:$P$22,0))*IF(Inputs!I19="Always",1,IF(Inputs!I19="Sometimes",0.5,0))*365,"")</f>
        <v>18250</v>
      </c>
      <c r="R14" s="63">
        <f>IFERROR(D14*INDEX(Parameters!$A$22:$P$29,MATCH(Calculations!$A14,Parameters!$A$22:$A$29,0),MATCH(Parameters!$M$22,Parameters!$A$22:$P$22,0)),"")</f>
        <v>1200</v>
      </c>
      <c r="S14" s="63">
        <f>IFERROR(D14*INDEX(Parameters!$A$22:$P$29,MATCH(Calculations!$A14,Parameters!$A$22:$A$29,0),MATCH(Parameters!$N$22,Parameters!$A$22:$P$22,0)),"")</f>
        <v>1400</v>
      </c>
    </row>
    <row r="15" spans="1:52">
      <c r="A15" s="16" t="str">
        <f>Inputs!A20</f>
        <v>Goat</v>
      </c>
      <c r="B15" s="16" t="str">
        <f>IFERROR(VLOOKUP(A15,Parameters!$A$23:$B$30,2,0),"")</f>
        <v>meat</v>
      </c>
      <c r="C15" s="16" t="str">
        <f>IF(Inputs!A20=Parameters!$A$30,Inputs!B20,A15&amp;": "&amp;B15)</f>
        <v>Goat: meat</v>
      </c>
      <c r="D15" s="16">
        <f>Inputs!C20</f>
        <v>10</v>
      </c>
      <c r="E15" s="16">
        <f>Inputs!D20</f>
        <v/>
      </c>
      <c r="F15">
        <f>IFERROR(INDEX(Parameters!$A$22:$P$29,MATCH(Calculations!$A15,Parameters!$A$22:$A$29,0),MATCH(Parameters!$P$22,Parameters!$A$22:$P$22,0)),"")</f>
        <v>24</v>
      </c>
      <c r="G15" s="67">
        <f>IFERROR(IF(Inputs!F20="Yes",1+INDEX(Parameters!$A$22:$P$29,MATCH(Calculations!A15,Parameters!$A$22:$A$29,0),MATCH(Parameters!$G$22,Parameters!$A$22:$P$22,0)),1)*IF(Inputs!I20="Sometimes",1+INDEX(Parameters!$A$22:$P$29,MATCH(Calculations!A15,Parameters!$A$22:$A$29,0),MATCH(Parameters!$E$22,Parameters!$A$22:$P$22,0)),IF(Inputs!I20="Always",1+INDEX(Parameters!$A$22:$P$29,MATCH(Calculations!A15,Parameters!$A$22:$A$29,0),MATCH(Parameters!$F$22,Parameters!$A$22:$P$22,0)),1)),"")</f>
        <v>1</v>
      </c>
      <c r="H15" s="121">
        <f>IFERROR(IF(B15="meat",INDEX(Parameters!$A$22:$P$29,MATCH(Calculations!A15,Parameters!$A$22:$A$29,0),MATCH(Parameters!$I$22,Parameters!$A$22:$P$22,0))*G15,""),"")</f>
        <v>8</v>
      </c>
      <c r="I15" s="30">
        <f>IFERROR(IF(B15="meat",IF(Inputs!F20="Yes",INDEX(Parameters!$A$22:$P$29,MATCH(Calculations!$A15,Parameters!$A$22:$A$29,0),MATCH(Parameters!$K$22,Parameters!$A$22:$P$22,0)),INDEX(Parameters!$A$22:$P$29,MATCH(Calculations!$A15,Parameters!$A$22:$A$29,0),MATCH(Parameters!$J$22,Parameters!$A$22:$P$22,0))),""),"")</f>
        <v>250</v>
      </c>
      <c r="J15" s="124" t="str">
        <f>IF(B15&lt;&gt;"meat",IFERROR(INDEX(Parameters!$A$22:$P$29,MATCH(Calculations!A15,Parameters!$A$22:$A$29,0),MATCH(Parameters!$D$22,Parameters!$A$22:$P$22,0))*Calculations!G15,""),"")</f>
        <v/>
      </c>
      <c r="K15" s="46" t="str">
        <f>IFERROR(INDEX(Parameters!$A$22:$P$29,MATCH(Calculations!$A15,Parameters!$A$22:$A$29,0),MATCH(Parameters!$H$22,Parameters!$A$22:$P$22,0)),"")</f>
        <v>N/A</v>
      </c>
      <c r="L15" s="171"/>
      <c r="M15" s="22">
        <f>Inputs!J20/100</f>
        <v>0</v>
      </c>
      <c r="N15" s="130">
        <f>Inputs!K20/100</f>
        <v>0</v>
      </c>
      <c r="O15" s="64">
        <f>IFERROR(INDEX(Parameters!$A$41:$C$48,MATCH(Calculations!A15,Parameters!$A$41:$A$48,0),MATCH(Inputs!F20,Parameters!$A$41:$C$41,0)),0)</f>
        <v>6000</v>
      </c>
      <c r="P15" s="64">
        <f>IF(A15=Parameters!$A$30,Inputs!E20*Inputs!G20*(1-Calculations!N15),IFERROR(IFERROR(D15*Calculations!I15*H15*12/Calculations!F15*(1-Calculations!N15),E15*Calculations!J15*Calculations!K15*365*(1-Calculations!M15)),""))</f>
        <v>10000</v>
      </c>
      <c r="Q15" s="64">
        <f>IFERROR(D15*INDEX(Parameters!$A$22:$P$29,MATCH(Calculations!$A15,Parameters!$A$22:$A$29,0),MATCH(Parameters!$L$22,Parameters!$A$22:$P$22,0))*IF(Inputs!I20="Always",1,IF(Inputs!I20="Sometimes",0.5,0))*365,"")</f>
        <v>0</v>
      </c>
      <c r="R15" s="64">
        <f>IFERROR(D15*INDEX(Parameters!$A$22:$P$29,MATCH(Calculations!$A15,Parameters!$A$22:$A$29,0),MATCH(Parameters!$M$22,Parameters!$A$22:$P$22,0)),"")</f>
        <v>2000</v>
      </c>
      <c r="S15" s="64">
        <f>IFERROR(D15*INDEX(Parameters!$A$22:$P$29,MATCH(Calculations!$A15,Parameters!$A$22:$A$29,0),MATCH(Parameters!$N$22,Parameters!$A$22:$P$22,0)),"")</f>
        <v>3000</v>
      </c>
    </row>
    <row r="16" spans="1:52">
      <c r="A16" s="16">
        <f>Inputs!A21</f>
        <v/>
      </c>
      <c r="B16" s="16" t="str">
        <f>IFERROR(VLOOKUP(A16,Parameters!$A$23:$B$30,2,0),"")</f>
        <v/>
      </c>
      <c r="C16" s="16" t="str">
        <f>IF(Inputs!A21=Parameters!$A$30,Inputs!B21,A16&amp;": "&amp;B16)</f>
        <v>: </v>
      </c>
      <c r="D16" s="16">
        <f>Inputs!C21</f>
        <v/>
      </c>
      <c r="E16" s="16">
        <f>Inputs!D21</f>
        <v/>
      </c>
      <c r="F16" s="43" t="str">
        <f>IFERROR(INDEX(Parameters!$A$22:$P$29,MATCH(Calculations!$A16,Parameters!$A$22:$A$29,0),MATCH(Parameters!$P$22,Parameters!$A$22:$P$22,0)),"")</f>
        <v/>
      </c>
      <c r="G16" s="67">
        <f>IFERROR(IF(Inputs!F21="Yes",1+INDEX(Parameters!$A$22:$P$29,MATCH(Calculations!A16,Parameters!$A$22:$A$29,0),MATCH(Parameters!$G$22,Parameters!$A$22:$P$22,0)),1)*IF(Inputs!I21="Sometimes",1+INDEX(Parameters!$A$22:$P$29,MATCH(Calculations!A16,Parameters!$A$22:$A$29,0),MATCH(Parameters!$E$22,Parameters!$A$22:$P$22,0)),IF(Inputs!I21="Always",1+INDEX(Parameters!$A$22:$P$29,MATCH(Calculations!A16,Parameters!$A$22:$A$29,0),MATCH(Parameters!$F$22,Parameters!$A$22:$P$22,0)),1)),"")</f>
        <v>1</v>
      </c>
      <c r="H16" s="122" t="str">
        <f>IFERROR(IF(B16="meat",INDEX(Parameters!$A$22:$P$29,MATCH(Calculations!A16,Parameters!$A$22:$A$29,0),MATCH(Parameters!$I$22,Parameters!$A$22:$P$22,0))*G16,""),"")</f>
        <v/>
      </c>
      <c r="I16" s="30" t="str">
        <f>IFERROR(IF(B16="meat",IF(Inputs!F21="Yes",INDEX(Parameters!$A$22:$P$29,MATCH(Calculations!$A16,Parameters!$A$22:$A$29,0),MATCH(Parameters!$K$22,Parameters!$A$22:$P$22,0)),INDEX(Parameters!$A$22:$P$29,MATCH(Calculations!$A16,Parameters!$A$22:$A$29,0),MATCH(Parameters!$J$22,Parameters!$A$22:$P$22,0))),""),"")</f>
        <v/>
      </c>
      <c r="J16" s="124">
        <f>IF(B16&lt;&gt;"meat",IFERROR(INDEX(Parameters!$A$22:$P$29,MATCH(Calculations!A16,Parameters!$A$22:$A$29,0),MATCH(Parameters!$D$22,Parameters!$A$22:$P$22,0))*Calculations!G16,""),"")</f>
        <v>0</v>
      </c>
      <c r="K16" s="46" t="str">
        <f>IFERROR(INDEX(Parameters!$A$22:$P$29,MATCH(Calculations!$A16,Parameters!$A$22:$A$29,0),MATCH(Parameters!$H$22,Parameters!$A$22:$P$22,0)),"")</f>
        <v/>
      </c>
      <c r="L16" s="171"/>
      <c r="M16" s="22">
        <f>Inputs!J21/100</f>
        <v>0</v>
      </c>
      <c r="N16" s="130">
        <f>Inputs!K21/100</f>
        <v>0</v>
      </c>
      <c r="O16" s="64">
        <f>IFERROR(INDEX(Parameters!$A$41:$C$48,MATCH(Calculations!A16,Parameters!$A$41:$A$48,0),MATCH(Inputs!F21,Parameters!$A$41:$C$41,0)),0)</f>
        <v>20000</v>
      </c>
      <c r="P16" s="64" t="str">
        <f>IF(A16=Parameters!$A$30,Inputs!E21*Inputs!G21*(1-Calculations!N16),IFERROR(IFERROR(D16*Calculations!I16*H16*12/Calculations!F16*(1-Calculations!N16),E16*Calculations!J16*Calculations!K16*365*(1-Calculations!M16)),""))</f>
        <v/>
      </c>
      <c r="Q16" s="64">
        <f>IFERROR(D16*INDEX(Parameters!$A$22:$P$29,MATCH(Calculations!$A16,Parameters!$A$22:$A$29,0),MATCH(Parameters!$L$22,Parameters!$A$22:$P$22,0))*IF(Inputs!I21="Always",1,IF(Inputs!I21="Sometimes",0.5,0))*365,"")</f>
        <v>0</v>
      </c>
      <c r="R16" s="64">
        <f>IFERROR(D16*INDEX(Parameters!$A$22:$P$29,MATCH(Calculations!$A16,Parameters!$A$22:$A$29,0),MATCH(Parameters!$M$22,Parameters!$A$22:$P$22,0)),"")</f>
        <v>0</v>
      </c>
      <c r="S16" s="64">
        <f>IFERROR(D16*INDEX(Parameters!$A$22:$P$29,MATCH(Calculations!$A16,Parameters!$A$22:$A$29,0),MATCH(Parameters!$N$22,Parameters!$A$22:$P$22,0)),"")</f>
        <v>0</v>
      </c>
    </row>
    <row r="17" spans="1:52">
      <c r="A17" s="23">
        <f>IFERROR(INDEX($A$14:$A$16,MATCH(Parameters!$B$23,Calculations!$B$14:$B$16,0)),"")</f>
        <v/>
      </c>
      <c r="B17" s="23" t="str">
        <f>IF(A17="","","meat")</f>
        <v/>
      </c>
      <c r="C17" s="23" t="str">
        <f>IF(A17="","","Chicken: sale of ex layers")</f>
        <v/>
      </c>
      <c r="D17" s="23">
        <f>IFERROR(INDEX($D$14:$D$16,MATCH(Parameters!$B$23,Calculations!$B$14:$B$16,0)),"")</f>
        <v/>
      </c>
      <c r="E17" s="23"/>
      <c r="F17" s="6" t="str">
        <f>IFERROR(INDEX(Parameters!$A$22:$P$29,MATCH(Calculations!$A17,Parameters!$A$22:$A$29,0),MATCH(Parameters!$P$22,Parameters!$A$22:$P$22,0)),"")</f>
        <v/>
      </c>
      <c r="G17" s="120" t="str">
        <f>IF(A17="","",INDEX(G14:G16,MATCH(Parameters!B23,B14:B16,0)))</f>
        <v/>
      </c>
      <c r="H17" s="123" t="str">
        <f>IFERROR(IF(B17="meat",INDEX(Parameters!$A$22:$P$29,MATCH(Calculations!A17,Parameters!$A$22:$A$29,0),MATCH(Parameters!$I$22,Parameters!$A$22:$P$22,0))*G17,""),"")</f>
        <v/>
      </c>
      <c r="I17" s="31" t="str">
        <f>IFERROR(IF(B17="meat",IF(Inputs!F22="Yes",INDEX(Parameters!$A$22:$P$29,MATCH(Calculations!$A17,Parameters!$A$22:$A$29,0),MATCH(Parameters!$K$22,Parameters!$A$22:$P$22,0)),INDEX(Parameters!$A$22:$P$29,MATCH(Calculations!$A17,Parameters!$A$22:$A$29,0),MATCH(Parameters!$J$22,Parameters!$A$22:$P$22,0))),""),"")</f>
        <v/>
      </c>
      <c r="J17" s="126"/>
      <c r="K17" s="61"/>
      <c r="L17" s="172" t="str">
        <f>IF(A17="","",DATE(YEAR(Inputs!$B$76),MONTH(Inputs!$B$76)+Parameters!O23-INDEX(Inputs!$L$19:$L$21,MATCH(Parameters!$A$23,Inputs!$A$19:$A$21,0)),1))</f>
        <v/>
      </c>
      <c r="M17" s="24"/>
      <c r="N17" s="180"/>
      <c r="O17" s="65"/>
      <c r="P17" s="65">
        <f>IF(A17=Parameters!$A$30,Inputs!E22*Inputs!G22*(1-Inputs!P22),IFERROR(IFERROR(D17*Calculations!I17*H17*(1-Inputs!P22),E17*Calculations!J17*Calculations!K17*365*(1-Inputs!O22)),""))</f>
        <v>0</v>
      </c>
      <c r="Q17" s="65"/>
      <c r="R17" s="65"/>
      <c r="S17" s="65"/>
    </row>
    <row r="18" spans="1:52">
      <c r="B18" s="43"/>
      <c r="C18" s="43"/>
    </row>
    <row r="19" spans="1:52">
      <c r="B19" s="43"/>
      <c r="C19" s="43"/>
    </row>
    <row r="20" spans="1:52">
      <c r="A20" s="3" t="s">
        <v>52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4"/>
    </row>
    <row r="21" spans="1:52">
      <c r="B21" s="43"/>
      <c r="C21" s="43"/>
    </row>
    <row r="22" spans="1:52" customHeight="1" ht="30">
      <c r="A22" s="74" t="s">
        <v>146</v>
      </c>
      <c r="B22" s="74" t="s">
        <v>227</v>
      </c>
      <c r="C22" s="74" t="s">
        <v>228</v>
      </c>
      <c r="D22" s="74" t="s">
        <v>229</v>
      </c>
      <c r="E22" s="74" t="s">
        <v>230</v>
      </c>
    </row>
    <row r="23" spans="1:52">
      <c r="A23" s="75">
        <f>Inputs!A56</f>
        <v>21750</v>
      </c>
      <c r="B23" s="75">
        <f>SUM(C23:D23)</f>
        <v>0</v>
      </c>
      <c r="C23" s="75">
        <f>IF(Inputs!B56&gt;0,(Inputs!A56-Inputs!B56)/(DATE(YEAR(Inputs!$B$76),MONTH(Inputs!$B$76),DAY(Inputs!$B$76))-DATE(YEAR(Inputs!C56),MONTH(Inputs!C56),DAY(Inputs!C56)))*30,0)</f>
        <v>0</v>
      </c>
      <c r="D23" s="75">
        <f>IF(Inputs!B56&gt;0,Inputs!A56*0.22/12,0)</f>
        <v>0</v>
      </c>
      <c r="E23" s="75">
        <f>IFERROR(ROUNDUP(Inputs!B56/C23,0),0)</f>
        <v>0</v>
      </c>
    </row>
    <row r="24" spans="1:52">
      <c r="A24" s="46">
        <f>Inputs!A57</f>
        <v>3000</v>
      </c>
      <c r="B24" s="46">
        <f>SUM(C24:D24)</f>
        <v>0</v>
      </c>
      <c r="C24" s="46">
        <f>IF(Inputs!B57&gt;0,(Inputs!A57-Inputs!B57)/(DATE(YEAR(Inputs!$B$76),MONTH(Inputs!$B$76),DAY(Inputs!$B$76))-DATE(YEAR(Inputs!C57),MONTH(Inputs!C57),DAY(Inputs!C57)))*30,0)</f>
        <v>0</v>
      </c>
      <c r="D24" s="46">
        <f>IF(Inputs!B57&gt;0,Inputs!A57*0.22/12,0)</f>
        <v>0</v>
      </c>
      <c r="E24" s="46">
        <f>IFERROR(ROUNDUP(Inputs!B57/B24,0),0)</f>
        <v>0</v>
      </c>
      <c r="H24" s="1"/>
    </row>
    <row r="25" spans="1:52">
      <c r="A25" s="46">
        <f>Inputs!A58</f>
        <v>5000</v>
      </c>
      <c r="B25" s="46">
        <f>SUM(C25:D25)</f>
        <v>28.81750465549349</v>
      </c>
      <c r="C25" s="46">
        <f>IF(Inputs!B58&gt;0,(Inputs!A58-Inputs!B58)/(DATE(YEAR(Inputs!$B$76),MONTH(Inputs!$B$76),DAY(Inputs!$B$76))-DATE(YEAR(Inputs!C58),MONTH(Inputs!C58),DAY(Inputs!C58)))*30,0)</f>
        <v>-62.84916201117318</v>
      </c>
      <c r="D25" s="46">
        <f>IF(Inputs!B58&gt;0,Inputs!A58*0.22/12,0)</f>
        <v>91.66666666666667</v>
      </c>
      <c r="E25" s="46">
        <f>IFERROR(ROUNDUP(Inputs!B58/B25,0),0)</f>
        <v>187</v>
      </c>
    </row>
    <row r="26" spans="1:52">
      <c r="A26" s="46">
        <f>Inputs!A59</f>
        <v/>
      </c>
      <c r="B26" s="46">
        <f>SUM(C26:D26)</f>
        <v>0</v>
      </c>
      <c r="C26" s="46">
        <f>IF(Inputs!B59&gt;0,(Inputs!A59-Inputs!B59)/(DATE(YEAR(Inputs!$B$76),MONTH(Inputs!$B$76),DAY(Inputs!$B$76))-DATE(YEAR(Inputs!C59),MONTH(Inputs!C59),DAY(Inputs!C59)))*30,0)</f>
        <v>0</v>
      </c>
      <c r="D26" s="46">
        <f>IF(Inputs!B59&gt;0,Inputs!A59*0.22/12,0)</f>
        <v>0</v>
      </c>
      <c r="E26" s="46">
        <f>IFERROR(ROUNDUP(Inputs!B59/B26,0),0)</f>
        <v>0</v>
      </c>
    </row>
    <row r="27" spans="1:52">
      <c r="A27" s="61">
        <f>Inputs!A60</f>
        <v/>
      </c>
      <c r="B27" s="61">
        <f>SUM(C27:D27)</f>
        <v>0</v>
      </c>
      <c r="C27" s="61">
        <f>IF(Inputs!B60&gt;0,(Inputs!A60-Inputs!B60)/(DATE(YEAR(Inputs!$B$76),MONTH(Inputs!$B$76),DAY(Inputs!$B$76))-DATE(YEAR(Inputs!C60),MONTH(Inputs!C60),DAY(Inputs!C60)))*30,0)</f>
        <v>0</v>
      </c>
      <c r="D27" s="61">
        <f>IF(Inputs!B60&gt;0,Inputs!A60*0.22/12,0)</f>
        <v>0</v>
      </c>
      <c r="E27" s="61">
        <f>IFERROR(ROUNDUP(Inputs!B60/B27,0),0)</f>
        <v>0</v>
      </c>
    </row>
    <row r="28" spans="1:52">
      <c r="B28" s="43"/>
      <c r="C28" s="43"/>
    </row>
    <row r="29" spans="1:52">
      <c r="B29" s="43"/>
      <c r="C29" s="43"/>
    </row>
    <row r="30" spans="1:52">
      <c r="A30" s="3" t="s">
        <v>231</v>
      </c>
      <c r="B30" s="9"/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4"/>
    </row>
    <row r="31" spans="1:52">
      <c r="B31" s="43"/>
      <c r="C31" s="43"/>
    </row>
    <row r="32" spans="1:52">
      <c r="A32" s="129" t="s">
        <v>232</v>
      </c>
      <c r="B32" s="129" t="s">
        <v>233</v>
      </c>
      <c r="C32" s="129" t="s">
        <v>234</v>
      </c>
      <c r="D32" s="129" t="s">
        <v>235</v>
      </c>
      <c r="F32" s="132" t="s">
        <v>236</v>
      </c>
      <c r="G32" s="132" t="s">
        <v>237</v>
      </c>
      <c r="I32" s="174" t="s">
        <v>238</v>
      </c>
      <c r="J32" s="175" t="str">
        <f>VLOOKUP(VALUE(Inputs!B75),Parameters!A54:B71,2,0)</f>
        <v>Matuu</v>
      </c>
    </row>
    <row r="33" spans="1:52">
      <c r="A33">
        <v>1</v>
      </c>
      <c r="B33" s="128">
        <f>G34</f>
        <v>42954</v>
      </c>
      <c r="C33" s="27">
        <f>IF(B33&lt;&gt;"",IF(COUNT($A$33:A33)&lt;=$G$39,0,$G$41)+IF(COUNT($A$33:A33)&lt;=$G$40,0,$G$42),0)</f>
        <v>10000</v>
      </c>
      <c r="D33" s="170">
        <f>IFERROR(DATE(YEAR(B33),MONTH(B33),1)," ")</f>
        <v>42948</v>
      </c>
      <c r="F33" t="s">
        <v>173</v>
      </c>
      <c r="G33" s="128">
        <f>IF(Inputs!B79="","",DATE(YEAR(Inputs!B79),MONTH(Inputs!B79),DAY(Inputs!B79)))</f>
        <v>42921</v>
      </c>
      <c r="J33" s="43"/>
    </row>
    <row r="34" spans="1:52">
      <c r="A34">
        <f>A33+1</f>
        <v>2</v>
      </c>
      <c r="B34" s="128">
        <f>IFERROR(IF(COUNT($A$33:A34)&lt;=$G$38,IF($G$37="Monthly",DATE(YEAR(B33),MONTH(B33)+1,MIN(DAY(B33),28)),B33+14),""),"")</f>
        <v>42985</v>
      </c>
      <c r="C34" s="27">
        <f>IF(B34&lt;&gt;"",IF(COUNT($A$33:A34)&lt;=$G$39,0,$G$41)+IF(COUNT($A$33:A34)&lt;=$G$40,0,$G$42),0)</f>
        <v>10000</v>
      </c>
      <c r="D34" s="170">
        <f>IFERROR(DATE(YEAR(B34),MONTH(B34),1)," ")</f>
        <v>42979</v>
      </c>
      <c r="F34" t="s">
        <v>175</v>
      </c>
      <c r="G34" s="128">
        <f>IF(Inputs!B80="","",DATE(YEAR(Inputs!B80),MONTH(Inputs!B80),DAY(Inputs!B80)))</f>
        <v>42954</v>
      </c>
    </row>
    <row r="35" spans="1:52">
      <c r="A35">
        <f>A34+1</f>
        <v>3</v>
      </c>
      <c r="B35" s="128">
        <f>IFERROR(IF(COUNT($A$33:A35)&lt;=$G$38,IF($G$37="Monthly",DATE(YEAR(B34),MONTH(B34)+1,MIN(DAY(B34),28)),B34+14),""),"")</f>
        <v>43015</v>
      </c>
      <c r="C35" s="27">
        <f>IF(B35&lt;&gt;"",IF(COUNT($A$33:A35)&lt;=$G$39,0,$G$41)+IF(COUNT($A$33:A35)&lt;=$G$40,0,$G$42),0)</f>
        <v>10000</v>
      </c>
      <c r="D35" s="170">
        <f>IFERROR(DATE(YEAR(B35),MONTH(B35),1)," ")</f>
        <v>43009</v>
      </c>
      <c r="F35" t="s">
        <v>177</v>
      </c>
      <c r="G35" s="27">
        <f>Inputs!B81</f>
        <v>100000</v>
      </c>
    </row>
    <row r="36" spans="1:52">
      <c r="A36">
        <f>A35+1</f>
        <v>4</v>
      </c>
      <c r="B36" s="128">
        <f>IFERROR(IF(COUNT($A$33:A36)&lt;=$G$38,IF($G$37="Monthly",DATE(YEAR(B35),MONTH(B35)+1,MIN(DAY(B35),28)),B35+14),""),"")</f>
        <v>43046</v>
      </c>
      <c r="C36" s="27">
        <f>IF(B36&lt;&gt;"",IF(COUNT($A$33:A36)&lt;=$G$39,0,$G$41)+IF(COUNT($A$33:A36)&lt;=$G$40,0,$G$42),0)</f>
        <v>10000</v>
      </c>
      <c r="D36" s="170">
        <f>IFERROR(DATE(YEAR(B36),MONTH(B36),1)," ")</f>
        <v>43040</v>
      </c>
      <c r="F36" t="s">
        <v>178</v>
      </c>
      <c r="G36" s="130">
        <f>Inputs!B82/100</f>
        <v>0.2</v>
      </c>
    </row>
    <row r="37" spans="1:52">
      <c r="A37">
        <f>A36+1</f>
        <v>5</v>
      </c>
      <c r="B37" s="128">
        <f>IFERROR(IF(COUNT($A$33:A37)&lt;=$G$38,IF($G$37="Monthly",DATE(YEAR(B36),MONTH(B36)+1,MIN(DAY(B36),28)),B36+14),""),"")</f>
        <v>43076</v>
      </c>
      <c r="C37" s="27">
        <f>IF(B37&lt;&gt;"",IF(COUNT($A$33:A37)&lt;=$G$39,0,$G$41)+IF(COUNT($A$33:A37)&lt;=$G$40,0,$G$42),0)</f>
        <v>10000</v>
      </c>
      <c r="D37" s="170">
        <f>IFERROR(DATE(YEAR(B37),MONTH(B37),1)," ")</f>
        <v>43070</v>
      </c>
      <c r="F37" t="s">
        <v>239</v>
      </c>
      <c r="G37" s="131" t="str">
        <f>IF(Inputs!B83="Months","Monthly",IF(Inputs!B83="Weeks",IF(Inputs!B84=1,"Weekly",IF(Inputs!B84=2,"Fortnightly",IF(Inputs!B84=4,"Four weeks","ERROR"))),""))</f>
        <v>Monthly</v>
      </c>
    </row>
    <row r="38" spans="1:52">
      <c r="A38">
        <f>A37+1</f>
        <v>6</v>
      </c>
      <c r="B38" s="128">
        <f>IFERROR(IF(COUNT($A$33:A38)&lt;=$G$38,IF($G$37="Monthly",DATE(YEAR(B37),MONTH(B37)+1,MIN(DAY(B37),28)),B37+14),""),"")</f>
        <v>43107</v>
      </c>
      <c r="C38" s="27">
        <f>IF(B38&lt;&gt;"",IF(COUNT($A$33:A38)&lt;=$G$39,0,$G$41)+IF(COUNT($A$33:A38)&lt;=$G$40,0,$G$42),0)</f>
        <v>10000</v>
      </c>
      <c r="D38" s="170">
        <f>IFERROR(DATE(YEAR(B38),MONTH(B38),1)," ")</f>
        <v>43101</v>
      </c>
      <c r="F38" t="s">
        <v>240</v>
      </c>
      <c r="G38" s="27">
        <f>IFERROR(Inputs!B85/Inputs!B84,"")</f>
        <v>12</v>
      </c>
    </row>
    <row r="39" spans="1:52">
      <c r="A39">
        <f>A38+1</f>
        <v>7</v>
      </c>
      <c r="B39" s="128">
        <f>IFERROR(IF(COUNT($A$33:A39)&lt;=$G$38,IF($G$37="Monthly",DATE(YEAR(B38),MONTH(B38)+1,MIN(DAY(B38),28)),B38+14),""),"")</f>
        <v>43138</v>
      </c>
      <c r="C39" s="27">
        <f>IF(B39&lt;&gt;"",IF(COUNT($A$33:A39)&lt;=$G$39,0,$G$41)+IF(COUNT($A$33:A39)&lt;=$G$40,0,$G$42),0)</f>
        <v>10000</v>
      </c>
      <c r="D39" s="170">
        <f>IFERROR(DATE(YEAR(B39),MONTH(B39),1)," ")</f>
        <v>43132</v>
      </c>
      <c r="F39" t="s">
        <v>183</v>
      </c>
      <c r="G39" s="27">
        <f>IF(Inputs!B86="",0,Inputs!B86)</f>
        <v>0</v>
      </c>
    </row>
    <row r="40" spans="1:52">
      <c r="A40">
        <f>A39+1</f>
        <v>8</v>
      </c>
      <c r="B40" s="128">
        <f>IFERROR(IF(COUNT($A$33:A40)&lt;=$G$38,IF($G$37="Monthly",DATE(YEAR(B39),MONTH(B39)+1,MIN(DAY(B39),28)),B39+14),""),"")</f>
        <v>43166</v>
      </c>
      <c r="C40" s="27">
        <f>IF(B40&lt;&gt;"",IF(COUNT($A$33:A40)&lt;=$G$39,0,$G$41)+IF(COUNT($A$33:A40)&lt;=$G$40,0,$G$42),0)</f>
        <v>10000</v>
      </c>
      <c r="D40" s="170">
        <f>IFERROR(DATE(YEAR(B40),MONTH(B40),1)," ")</f>
        <v>43160</v>
      </c>
      <c r="F40" t="s">
        <v>184</v>
      </c>
      <c r="G40" s="27">
        <f>IF(Inputs!B87="",0,Inputs!B87)</f>
        <v>0</v>
      </c>
    </row>
    <row r="41" spans="1:52">
      <c r="A41">
        <f>A40+1</f>
        <v>9</v>
      </c>
      <c r="B41" s="128">
        <f>IFERROR(IF(COUNT($A$33:A41)&lt;=$G$38,IF($G$37="Monthly",DATE(YEAR(B40),MONTH(B40)+1,MIN(DAY(B40),28)),B40+14),""),"")</f>
        <v>43197</v>
      </c>
      <c r="C41" s="27">
        <f>IF(B41&lt;&gt;"",IF(COUNT($A$33:A41)&lt;=$G$39,0,$G$41)+IF(COUNT($A$33:A41)&lt;=$G$40,0,$G$42),0)</f>
        <v>10000</v>
      </c>
      <c r="D41" s="170">
        <f>IFERROR(DATE(YEAR(B41),MONTH(B41),1)," ")</f>
        <v>43191</v>
      </c>
      <c r="F41" t="s">
        <v>241</v>
      </c>
      <c r="G41" s="73">
        <f>IFERROR(G35/(G38-G39),"")</f>
        <v>8333.333333333334</v>
      </c>
      <c r="H41" s="73"/>
    </row>
    <row r="42" spans="1:52">
      <c r="A42">
        <f>A41+1</f>
        <v>10</v>
      </c>
      <c r="B42" s="128">
        <f>IFERROR(IF(COUNT($A$33:A42)&lt;=$G$38,IF($G$37="Monthly",DATE(YEAR(B41),MONTH(B41)+1,MIN(DAY(B41),28)),B41+14),""),"")</f>
        <v>43227</v>
      </c>
      <c r="C42" s="27">
        <f>IF(B42&lt;&gt;"",IF(COUNT($A$33:A42)&lt;=$G$39,0,$G$41)+IF(COUNT($A$33:A42)&lt;=$G$40,0,$G$42),0)</f>
        <v>10000</v>
      </c>
      <c r="D42" s="170">
        <f>IFERROR(DATE(YEAR(B42),MONTH(B42),1)," ")</f>
        <v>43221</v>
      </c>
      <c r="F42" t="s">
        <v>242</v>
      </c>
      <c r="G42" s="73">
        <f>IFERROR(G35*G36*IF(G37="Monthly",G38/12,IF(G37="Fortnightly",G38/(365/14),G38/(365/28)))/(G38-G40),"")</f>
        <v>1666.666666666667</v>
      </c>
    </row>
    <row r="43" spans="1:52">
      <c r="A43">
        <f>A42+1</f>
        <v>11</v>
      </c>
      <c r="B43" s="128">
        <f>IFERROR(IF(COUNT($A$33:A43)&lt;=$G$38,IF($G$37="Monthly",DATE(YEAR(B42),MONTH(B42)+1,MIN(DAY(B42),28)),B42+14),""),"")</f>
        <v>43258</v>
      </c>
      <c r="C43" s="27">
        <f>IF(B43&lt;&gt;"",IF(COUNT($A$33:A43)&lt;=$G$39,0,$G$41)+IF(COUNT($A$33:A43)&lt;=$G$40,0,$G$42),0)</f>
        <v>10000</v>
      </c>
      <c r="D43" s="170">
        <f>IFERROR(DATE(YEAR(B43),MONTH(B43),1)," ")</f>
        <v>43252</v>
      </c>
    </row>
    <row r="44" spans="1:52">
      <c r="A44">
        <f>A43+1</f>
        <v>12</v>
      </c>
      <c r="B44" s="128">
        <f>IFERROR(IF(COUNT($A$33:A44)&lt;=$G$38,IF($G$37="Monthly",DATE(YEAR(B43),MONTH(B43)+1,MIN(DAY(B43),28)),B43+14),""),"")</f>
        <v>43288</v>
      </c>
      <c r="C44" s="27">
        <f>IF(B44&lt;&gt;"",IF(COUNT($A$33:A44)&lt;=$G$39,0,$G$41)+IF(COUNT($A$33:A44)&lt;=$G$40,0,$G$42),0)</f>
        <v>10000</v>
      </c>
      <c r="D44" s="170">
        <f>IFERROR(DATE(YEAR(B44),MONTH(B44),1)," ")</f>
        <v>43282</v>
      </c>
    </row>
    <row r="45" spans="1:52">
      <c r="A45">
        <f>A44+1</f>
        <v>13</v>
      </c>
      <c r="B45" s="128" t="str">
        <f>IFERROR(IF(COUNT($A$33:A45)&lt;=$G$38,IF($G$37="Monthly",DATE(YEAR(B44),MONTH(B44)+1,MIN(DAY(B44),28)),B44+14),""),"")</f>
        <v/>
      </c>
      <c r="C45" s="27">
        <f>IF(B45&lt;&gt;"",IF(COUNT($A$33:A45)&lt;=$G$39,0,$G$41)+IF(COUNT($A$33:A45)&lt;=$G$40,0,$G$42),0)</f>
        <v>0</v>
      </c>
      <c r="D45" s="170" t="str">
        <f>IFERROR(DATE(YEAR(B45),MONTH(B45),1)," ")</f>
        <v> </v>
      </c>
    </row>
    <row r="46" spans="1:52">
      <c r="A46">
        <f>A45+1</f>
        <v>14</v>
      </c>
      <c r="B46" s="128" t="str">
        <f>IFERROR(IF(COUNT($A$33:A46)&lt;=$G$38,IF($G$37="Monthly",DATE(YEAR(B45),MONTH(B45)+1,MIN(DAY(B45),28)),B45+14),""),"")</f>
        <v/>
      </c>
      <c r="C46" s="27">
        <f>IF(B46&lt;&gt;"",IF(COUNT($A$33:A46)&lt;=$G$39,0,$G$41)+IF(COUNT($A$33:A46)&lt;=$G$40,0,$G$42),0)</f>
        <v>0</v>
      </c>
      <c r="D46" s="170" t="str">
        <f>IFERROR(DATE(YEAR(B46),MONTH(B46),1)," ")</f>
        <v> </v>
      </c>
    </row>
    <row r="47" spans="1:52">
      <c r="A47">
        <f>A46+1</f>
        <v>15</v>
      </c>
      <c r="B47" s="128" t="str">
        <f>IFERROR(IF(COUNT($A$33:A47)&lt;=$G$38,IF($G$37="Monthly",DATE(YEAR(B46),MONTH(B46)+1,MIN(DAY(B46),28)),B46+14),""),"")</f>
        <v/>
      </c>
      <c r="C47" s="27">
        <f>IF(B47&lt;&gt;"",IF(COUNT($A$33:A47)&lt;=$G$39,0,$G$41)+IF(COUNT($A$33:A47)&lt;=$G$40,0,$G$42),0)</f>
        <v>0</v>
      </c>
      <c r="D47" s="170" t="str">
        <f>IFERROR(DATE(YEAR(B47),MONTH(B47),1)," ")</f>
        <v> </v>
      </c>
    </row>
    <row r="48" spans="1:52">
      <c r="A48">
        <f>A47+1</f>
        <v>16</v>
      </c>
      <c r="B48" s="128" t="str">
        <f>IFERROR(IF(COUNT($A$33:A48)&lt;=$G$38,IF($G$37="Monthly",DATE(YEAR(B47),MONTH(B47)+1,MIN(DAY(B47),28)),B47+14),""),"")</f>
        <v/>
      </c>
      <c r="C48" s="27">
        <f>IF(B48&lt;&gt;"",IF(COUNT($A$33:A48)&lt;=$G$39,0,$G$41)+IF(COUNT($A$33:A48)&lt;=$G$40,0,$G$42),0)</f>
        <v>0</v>
      </c>
      <c r="D48" s="170" t="str">
        <f>IFERROR(DATE(YEAR(B48),MONTH(B48),1)," ")</f>
        <v> </v>
      </c>
    </row>
    <row r="49" spans="1:52">
      <c r="A49">
        <f>A48+1</f>
        <v>17</v>
      </c>
      <c r="B49" s="128" t="str">
        <f>IFERROR(IF(COUNT($A$33:A49)&lt;=$G$38,IF($G$37="Monthly",DATE(YEAR(B48),MONTH(B48)+1,MIN(DAY(B48),28)),B48+14),""),"")</f>
        <v/>
      </c>
      <c r="C49" s="27">
        <f>IF(B49&lt;&gt;"",IF(COUNT($A$33:A49)&lt;=$G$39,0,$G$41)+IF(COUNT($A$33:A49)&lt;=$G$40,0,$G$42),0)</f>
        <v>0</v>
      </c>
      <c r="D49" s="170" t="str">
        <f>IFERROR(DATE(YEAR(B49),MONTH(B49),1)," ")</f>
        <v> </v>
      </c>
    </row>
    <row r="50" spans="1:52">
      <c r="A50">
        <f>A49+1</f>
        <v>18</v>
      </c>
      <c r="B50" s="128" t="str">
        <f>IFERROR(IF(COUNT($A$33:A50)&lt;=$G$38,IF($G$37="Monthly",DATE(YEAR(B49),MONTH(B49)+1,MIN(DAY(B49),28)),B49+14),""),"")</f>
        <v/>
      </c>
      <c r="C50" s="27">
        <f>IF(B50&lt;&gt;"",IF(COUNT($A$33:A50)&lt;=$G$39,0,$G$41)+IF(COUNT($A$33:A50)&lt;=$G$40,0,$G$42),0)</f>
        <v>0</v>
      </c>
      <c r="D50" s="170" t="str">
        <f>IFERROR(DATE(YEAR(B50),MONTH(B50),1)," ")</f>
        <v> </v>
      </c>
    </row>
    <row r="51" spans="1:52">
      <c r="A51">
        <f>A50+1</f>
        <v>19</v>
      </c>
      <c r="B51" s="128" t="str">
        <f>IFERROR(IF(COUNT($A$33:A51)&lt;=$G$38,IF($G$37="Monthly",DATE(YEAR(B50),MONTH(B50)+1,MIN(DAY(B50),28)),B50+14),""),"")</f>
        <v/>
      </c>
      <c r="C51" s="27">
        <f>IF(B51&lt;&gt;"",IF(COUNT($A$33:A51)&lt;=$G$39,0,$G$41)+IF(COUNT($A$33:A51)&lt;=$G$40,0,$G$42),0)</f>
        <v>0</v>
      </c>
      <c r="D51" s="170" t="str">
        <f>IFERROR(DATE(YEAR(B51),MONTH(B51),1)," ")</f>
        <v> </v>
      </c>
    </row>
    <row r="52" spans="1:52">
      <c r="A52">
        <f>A51+1</f>
        <v>20</v>
      </c>
      <c r="B52" s="128" t="str">
        <f>IFERROR(IF(COUNT($A$33:A52)&lt;=$G$38,IF($G$37="Monthly",DATE(YEAR(B51),MONTH(B51)+1,MIN(DAY(B51),28)),B51+14),""),"")</f>
        <v/>
      </c>
      <c r="C52" s="27">
        <f>IF(B52&lt;&gt;"",IF(COUNT($A$33:A52)&lt;=$G$39,0,$G$41)+IF(COUNT($A$33:A52)&lt;=$G$40,0,$G$42),0)</f>
        <v>0</v>
      </c>
      <c r="D52" s="170" t="str">
        <f>IFERROR(DATE(YEAR(B52),MONTH(B52),1)," ")</f>
        <v> </v>
      </c>
    </row>
    <row r="53" spans="1:52">
      <c r="A53">
        <f>A52+1</f>
        <v>21</v>
      </c>
      <c r="B53" s="128" t="str">
        <f>IFERROR(IF(COUNT($A$33:A53)&lt;=$G$38,IF($G$37="Monthly",DATE(YEAR(B52),MONTH(B52)+1,MIN(DAY(B52),28)),B52+14),""),"")</f>
        <v/>
      </c>
      <c r="C53" s="27">
        <f>IF(B53&lt;&gt;"",IF(COUNT($A$33:A53)&lt;=$G$39,0,$G$41)+IF(COUNT($A$33:A53)&lt;=$G$40,0,$G$42),0)</f>
        <v>0</v>
      </c>
      <c r="D53" s="170" t="str">
        <f>IFERROR(DATE(YEAR(B53),MONTH(B53),1)," ")</f>
        <v> </v>
      </c>
    </row>
    <row r="54" spans="1:52">
      <c r="A54">
        <f>A53+1</f>
        <v>22</v>
      </c>
      <c r="B54" s="128" t="str">
        <f>IFERROR(IF(COUNT($A$33:A54)&lt;=$G$38,IF($G$37="Monthly",DATE(YEAR(B53),MONTH(B53)+1,MIN(DAY(B53),28)),B53+14),""),"")</f>
        <v/>
      </c>
      <c r="C54" s="27">
        <f>IF(B54&lt;&gt;"",IF(COUNT($A$33:A54)&lt;=$G$39,0,$G$41)+IF(COUNT($A$33:A54)&lt;=$G$40,0,$G$42),0)</f>
        <v>0</v>
      </c>
      <c r="D54" s="170" t="str">
        <f>IFERROR(DATE(YEAR(B54),MONTH(B54),1)," ")</f>
        <v> </v>
      </c>
    </row>
    <row r="55" spans="1:52">
      <c r="A55">
        <f>A54+1</f>
        <v>23</v>
      </c>
      <c r="B55" s="128" t="str">
        <f>IFERROR(IF(COUNT($A$33:A55)&lt;=$G$38,IF($G$37="Monthly",DATE(YEAR(B54),MONTH(B54)+1,MIN(DAY(B54),28)),B54+14),""),"")</f>
        <v/>
      </c>
      <c r="C55" s="27">
        <f>IF(B55&lt;&gt;"",IF(COUNT($A$33:A55)&lt;=$G$39,0,$G$41)+IF(COUNT($A$33:A55)&lt;=$G$40,0,$G$42),0)</f>
        <v>0</v>
      </c>
      <c r="D55" s="170" t="str">
        <f>IFERROR(DATE(YEAR(B55),MONTH(B55),1)," ")</f>
        <v> </v>
      </c>
    </row>
    <row r="56" spans="1:52">
      <c r="A56">
        <f>A55+1</f>
        <v>24</v>
      </c>
      <c r="B56" s="128" t="str">
        <f>IFERROR(IF(COUNT($A$33:A56)&lt;=$G$38,IF($G$37="Monthly",DATE(YEAR(B55),MONTH(B55)+1,MIN(DAY(B55),28)),B55+14),""),"")</f>
        <v/>
      </c>
      <c r="C56" s="27">
        <f>IF(B56&lt;&gt;"",IF(COUNT($A$33:A56)&lt;=$G$39,0,$G$41)+IF(COUNT($A$33:A56)&lt;=$G$40,0,$G$42),0)</f>
        <v>0</v>
      </c>
      <c r="D56" s="170" t="str">
        <f>IFERROR(DATE(YEAR(B56),MONTH(B56),1)," ")</f>
        <v> </v>
      </c>
    </row>
    <row r="57" spans="1:52">
      <c r="A57">
        <f>A56+1</f>
        <v>25</v>
      </c>
      <c r="B57" s="128" t="str">
        <f>IFERROR(IF(COUNT($A$33:A57)&lt;=$G$38,IF($G$37="Monthly",DATE(YEAR(B56),MONTH(B56)+1,MIN(DAY(B56),28)),B56+14),""),"")</f>
        <v/>
      </c>
      <c r="C57" s="27">
        <f>IF(B57&lt;&gt;"",IF(COUNT($A$33:A57)&lt;=$G$39,0,$G$41)+IF(COUNT($A$33:A57)&lt;=$G$40,0,$G$42),0)</f>
        <v>0</v>
      </c>
      <c r="D57" s="170" t="str">
        <f>IFERROR(DATE(YEAR(B57),MONTH(B57),1)," ")</f>
        <v> </v>
      </c>
    </row>
    <row r="58" spans="1:52">
      <c r="A58">
        <f>A57+1</f>
        <v>26</v>
      </c>
      <c r="B58" s="128" t="str">
        <f>IFERROR(IF(COUNT($A$33:A58)&lt;=$G$38,IF($G$37="Monthly",DATE(YEAR(B57),MONTH(B57)+1,MIN(DAY(B57),28)),B57+14),""),"")</f>
        <v/>
      </c>
      <c r="C58" s="27">
        <f>IF(B58&lt;&gt;"",IF(COUNT($A$33:A58)&lt;=$G$39,0,$G$41)+IF(COUNT($A$33:A58)&lt;=$G$40,0,$G$42),0)</f>
        <v>0</v>
      </c>
      <c r="D58" s="170" t="str">
        <f>IFERROR(DATE(YEAR(B58),MONTH(B58),1)," ")</f>
        <v> </v>
      </c>
    </row>
    <row r="59" spans="1:52">
      <c r="A59">
        <f>A58+1</f>
        <v>27</v>
      </c>
      <c r="B59" s="128" t="str">
        <f>IFERROR(IF(COUNT($A$33:A59)&lt;=$G$38,IF($G$37="Monthly",DATE(YEAR(B58),MONTH(B58)+1,MIN(DAY(B58),28)),B58+14),""),"")</f>
        <v/>
      </c>
      <c r="C59" s="27">
        <f>IF(B59&lt;&gt;"",IF(COUNT($A$33:A59)&lt;=$G$39,0,$G$41)+IF(COUNT($A$33:A59)&lt;=$G$40,0,$G$42),0)</f>
        <v>0</v>
      </c>
      <c r="D59" s="170" t="str">
        <f>IFERROR(DATE(YEAR(B59),MONTH(B59),1)," ")</f>
        <v> </v>
      </c>
    </row>
    <row r="60" spans="1:52">
      <c r="A60">
        <f>A59+1</f>
        <v>28</v>
      </c>
      <c r="B60" s="128" t="str">
        <f>IFERROR(IF(COUNT($A$33:A60)&lt;=$G$38,IF($G$37="Monthly",DATE(YEAR(B59),MONTH(B59)+1,MIN(DAY(B59),28)),B59+14),""),"")</f>
        <v/>
      </c>
      <c r="C60" s="27">
        <f>IF(B60&lt;&gt;"",IF(COUNT($A$33:A60)&lt;=$G$39,0,$G$41)+IF(COUNT($A$33:A60)&lt;=$G$40,0,$G$42),0)</f>
        <v>0</v>
      </c>
      <c r="D60" s="170" t="str">
        <f>IFERROR(DATE(YEAR(B60),MONTH(B60),1)," ")</f>
        <v> </v>
      </c>
    </row>
    <row r="61" spans="1:52">
      <c r="A61">
        <f>A60+1</f>
        <v>29</v>
      </c>
      <c r="B61" s="128" t="str">
        <f>IFERROR(IF(COUNT($A$33:A61)&lt;=$G$38,IF($G$37="Monthly",DATE(YEAR(B60),MONTH(B60)+1,MIN(DAY(B60),28)),B60+14),""),"")</f>
        <v/>
      </c>
      <c r="C61" s="27">
        <f>IF(B61&lt;&gt;"",IF(COUNT($A$33:A61)&lt;=$G$39,0,$G$41)+IF(COUNT($A$33:A61)&lt;=$G$40,0,$G$42),0)</f>
        <v>0</v>
      </c>
      <c r="D61" s="170" t="str">
        <f>IFERROR(DATE(YEAR(B61),MONTH(B61),1)," ")</f>
        <v> </v>
      </c>
    </row>
    <row r="62" spans="1:52">
      <c r="A62">
        <f>A61+1</f>
        <v>30</v>
      </c>
      <c r="B62" s="128" t="str">
        <f>IFERROR(IF(COUNT($A$33:A62)&lt;=$G$38,IF($G$37="Monthly",DATE(YEAR(B61),MONTH(B61)+1,MIN(DAY(B61),28)),B61+14),""),"")</f>
        <v/>
      </c>
      <c r="C62" s="27">
        <f>IF(B62&lt;&gt;"",IF(COUNT($A$33:A62)&lt;=$G$39,0,$G$41)+IF(COUNT($A$33:A62)&lt;=$G$40,0,$G$42),0)</f>
        <v>0</v>
      </c>
      <c r="D62" s="170" t="str">
        <f>IFERROR(DATE(YEAR(B62),MONTH(B62),1)," ")</f>
        <v> </v>
      </c>
    </row>
    <row r="63" spans="1:52">
      <c r="A63">
        <f>A62+1</f>
        <v>31</v>
      </c>
      <c r="B63" s="128" t="str">
        <f>IFERROR(IF(COUNT($A$33:A63)&lt;=$G$38,IF($G$37="Monthly",DATE(YEAR(B62),MONTH(B62)+1,MIN(DAY(B62),28)),B62+14),""),"")</f>
        <v/>
      </c>
      <c r="C63" s="27">
        <f>IF(B63&lt;&gt;"",IF(COUNT($A$33:A63)&lt;=$G$39,0,$G$41)+IF(COUNT($A$33:A63)&lt;=$G$40,0,$G$42),0)</f>
        <v>0</v>
      </c>
      <c r="D63" s="170" t="str">
        <f>IFERROR(DATE(YEAR(B63),MONTH(B63),1)," ")</f>
        <v> </v>
      </c>
    </row>
    <row r="64" spans="1:52">
      <c r="A64">
        <f>A63+1</f>
        <v>32</v>
      </c>
      <c r="B64" s="128" t="str">
        <f>IFERROR(IF(COUNT($A$33:A64)&lt;=$G$38,IF($G$37="Monthly",DATE(YEAR(B63),MONTH(B63)+1,MIN(DAY(B63),28)),B63+14),""),"")</f>
        <v/>
      </c>
      <c r="C64" s="27">
        <f>IF(B64&lt;&gt;"",IF(COUNT($A$33:A64)&lt;=$G$39,0,$G$41)+IF(COUNT($A$33:A64)&lt;=$G$40,0,$G$42),0)</f>
        <v>0</v>
      </c>
      <c r="D64" s="170" t="str">
        <f>IFERROR(DATE(YEAR(B64),MONTH(B64),1)," ")</f>
        <v> </v>
      </c>
    </row>
    <row r="65" spans="1:52">
      <c r="A65">
        <f>A64+1</f>
        <v>33</v>
      </c>
      <c r="B65" s="128" t="str">
        <f>IFERROR(IF(COUNT($A$33:A65)&lt;=$G$38,IF($G$37="Monthly",DATE(YEAR(B64),MONTH(B64)+1,MIN(DAY(B64),28)),B64+14),""),"")</f>
        <v/>
      </c>
      <c r="C65" s="27">
        <f>IF(B65&lt;&gt;"",IF(COUNT($A$33:A65)&lt;=$G$39,0,$G$41)+IF(COUNT($A$33:A65)&lt;=$G$40,0,$G$42),0)</f>
        <v>0</v>
      </c>
      <c r="D65" s="170" t="str">
        <f>IFERROR(DATE(YEAR(B65),MONTH(B65),1)," ")</f>
        <v> </v>
      </c>
    </row>
    <row r="66" spans="1:52">
      <c r="A66">
        <f>A65+1</f>
        <v>34</v>
      </c>
      <c r="B66" s="128" t="str">
        <f>IFERROR(IF(COUNT($A$33:A66)&lt;=$G$38,IF($G$37="Monthly",DATE(YEAR(B65),MONTH(B65)+1,MIN(DAY(B65),28)),B65+14),""),"")</f>
        <v/>
      </c>
      <c r="C66" s="27">
        <f>IF(B66&lt;&gt;"",IF(COUNT($A$33:A66)&lt;=$G$39,0,$G$41)+IF(COUNT($A$33:A66)&lt;=$G$40,0,$G$42),0)</f>
        <v>0</v>
      </c>
      <c r="D66" s="170" t="str">
        <f>IFERROR(DATE(YEAR(B66),MONTH(B66),1)," ")</f>
        <v> </v>
      </c>
    </row>
    <row r="67" spans="1:52">
      <c r="A67">
        <f>A66+1</f>
        <v>35</v>
      </c>
      <c r="B67" s="128" t="str">
        <f>IFERROR(IF(COUNT($A$33:A67)&lt;=$G$38,IF($G$37="Monthly",DATE(YEAR(B66),MONTH(B66)+1,MIN(DAY(B66),28)),B66+14),""),"")</f>
        <v/>
      </c>
      <c r="C67" s="27">
        <f>IF(B67&lt;&gt;"",IF(COUNT($A$33:A67)&lt;=$G$39,0,$G$41)+IF(COUNT($A$33:A67)&lt;=$G$40,0,$G$42),0)</f>
        <v>0</v>
      </c>
      <c r="D67" s="170" t="str">
        <f>IFERROR(DATE(YEAR(B67),MONTH(B67),1)," ")</f>
        <v> </v>
      </c>
    </row>
    <row r="68" spans="1:52">
      <c r="A68">
        <f>A67+1</f>
        <v>36</v>
      </c>
      <c r="B68" s="128" t="str">
        <f>IFERROR(IF(COUNT($A$33:A68)&lt;=$G$38,IF($G$37="Monthly",DATE(YEAR(B67),MONTH(B67)+1,MIN(DAY(B67),28)),B67+14),""),"")</f>
        <v/>
      </c>
      <c r="C68" s="27">
        <f>IF(B68&lt;&gt;"",IF(COUNT($A$33:A68)&lt;=$G$39,0,$G$41)+IF(COUNT($A$33:A68)&lt;=$G$40,0,$G$42),0)</f>
        <v>0</v>
      </c>
      <c r="D68" s="170" t="str">
        <f>IFERROR(DATE(YEAR(B68),MONTH(B68),1)," ")</f>
        <v> </v>
      </c>
    </row>
    <row r="69" spans="1:52">
      <c r="A69">
        <f>A68+1</f>
        <v>37</v>
      </c>
      <c r="B69" s="128" t="str">
        <f>IFERROR(IF(COUNT($A$33:A69)&lt;=$G$38,IF($G$37="Monthly",DATE(YEAR(B68),MONTH(B68)+1,MIN(DAY(B68),28)),B68+14),""),"")</f>
        <v/>
      </c>
      <c r="C69" s="27">
        <f>IF(B69&lt;&gt;"",IF(COUNT($A$33:A69)&lt;=$G$39,0,$G$41)+IF(COUNT($A$33:A69)&lt;=$G$40,0,$G$42),0)</f>
        <v>0</v>
      </c>
      <c r="D69" s="170" t="str">
        <f>IFERROR(DATE(YEAR(B69),MONTH(B69),1)," ")</f>
        <v> </v>
      </c>
    </row>
    <row r="70" spans="1:52">
      <c r="A70">
        <f>A69+1</f>
        <v>38</v>
      </c>
      <c r="B70" s="128" t="str">
        <f>IFERROR(IF(COUNT($A$33:A70)&lt;=$G$38,IF($G$37="Monthly",DATE(YEAR(B69),MONTH(B69)+1,MIN(DAY(B69),28)),B69+14),""),"")</f>
        <v/>
      </c>
      <c r="C70" s="27">
        <f>IF(B70&lt;&gt;"",IF(COUNT($A$33:A70)&lt;=$G$39,0,$G$41)+IF(COUNT($A$33:A70)&lt;=$G$40,0,$G$42),0)</f>
        <v>0</v>
      </c>
      <c r="D70" s="170" t="str">
        <f>IFERROR(DATE(YEAR(B70),MONTH(B70),1)," ")</f>
        <v> </v>
      </c>
    </row>
    <row r="71" spans="1:52">
      <c r="A71">
        <f>A70+1</f>
        <v>39</v>
      </c>
      <c r="B71" s="128" t="str">
        <f>IFERROR(IF(COUNT($A$33:A71)&lt;=$G$38,IF($G$37="Monthly",DATE(YEAR(B70),MONTH(B70)+1,MIN(DAY(B70),28)),B70+14),""),"")</f>
        <v/>
      </c>
      <c r="C71" s="27">
        <f>IF(B71&lt;&gt;"",IF(COUNT($A$33:A71)&lt;=$G$39,0,$G$41)+IF(COUNT($A$33:A71)&lt;=$G$40,0,$G$42),0)</f>
        <v>0</v>
      </c>
      <c r="D71" s="170" t="str">
        <f>IFERROR(DATE(YEAR(B71),MONTH(B71),1)," ")</f>
        <v> </v>
      </c>
    </row>
    <row r="72" spans="1:52">
      <c r="A72">
        <f>A71+1</f>
        <v>40</v>
      </c>
      <c r="B72" s="128" t="str">
        <f>IFERROR(IF(COUNT($A$33:A72)&lt;=$G$38,IF($G$37="Monthly",DATE(YEAR(B71),MONTH(B71)+1,MIN(DAY(B71),28)),B71+14),""),"")</f>
        <v/>
      </c>
      <c r="C72" s="27">
        <f>IF(B72&lt;&gt;"",IF(COUNT($A$33:A72)&lt;=$G$39,0,$G$41)+IF(COUNT($A$33:A72)&lt;=$G$40,0,$G$42),0)</f>
        <v>0</v>
      </c>
      <c r="D72" s="170" t="str">
        <f>IFERROR(DATE(YEAR(B72),MONTH(B72),1)," ")</f>
        <v> </v>
      </c>
    </row>
    <row r="73" spans="1:52">
      <c r="A73">
        <f>A72+1</f>
        <v>41</v>
      </c>
      <c r="B73" s="128" t="str">
        <f>IFERROR(IF(COUNT($A$33:A73)&lt;=$G$38,IF($G$37="Monthly",DATE(YEAR(B72),MONTH(B72)+1,MIN(DAY(B72),28)),B72+14),""),"")</f>
        <v/>
      </c>
      <c r="C73" s="27">
        <f>IF(B73&lt;&gt;"",IF(COUNT($A$33:A73)&lt;=$G$39,0,$G$41)+IF(COUNT($A$33:A73)&lt;=$G$40,0,$G$42),0)</f>
        <v>0</v>
      </c>
      <c r="D73" s="170" t="str">
        <f>IFERROR(DATE(YEAR(B73),MONTH(B73),1)," ")</f>
        <v> </v>
      </c>
    </row>
    <row r="74" spans="1:52">
      <c r="A74">
        <f>A73+1</f>
        <v>42</v>
      </c>
      <c r="B74" s="128" t="str">
        <f>IFERROR(IF(COUNT($A$33:A74)&lt;=$G$38,IF($G$37="Monthly",DATE(YEAR(B73),MONTH(B73)+1,MIN(DAY(B73),28)),B73+14),""),"")</f>
        <v/>
      </c>
      <c r="C74" s="27">
        <f>IF(B74&lt;&gt;"",IF(COUNT($A$33:A74)&lt;=$G$39,0,$G$41)+IF(COUNT($A$33:A74)&lt;=$G$40,0,$G$42),0)</f>
        <v>0</v>
      </c>
      <c r="D74" s="170" t="str">
        <f>IFERROR(DATE(YEAR(B74),MONTH(B74),1)," ")</f>
        <v> </v>
      </c>
    </row>
    <row r="75" spans="1:52">
      <c r="A75">
        <f>A74+1</f>
        <v>43</v>
      </c>
      <c r="B75" s="128" t="str">
        <f>IFERROR(IF(COUNT($A$33:A75)&lt;=$G$38,IF($G$37="Monthly",DATE(YEAR(B74),MONTH(B74)+1,MIN(DAY(B74),28)),B74+14),""),"")</f>
        <v/>
      </c>
      <c r="C75" s="27">
        <f>IF(B75&lt;&gt;"",IF(COUNT($A$33:A75)&lt;=$G$39,0,$G$41)+IF(COUNT($A$33:A75)&lt;=$G$40,0,$G$42),0)</f>
        <v>0</v>
      </c>
      <c r="D75" s="170" t="str">
        <f>IFERROR(DATE(YEAR(B75),MONTH(B75),1)," ")</f>
        <v> </v>
      </c>
    </row>
    <row r="76" spans="1:52">
      <c r="A76">
        <f>A75+1</f>
        <v>44</v>
      </c>
      <c r="B76" s="128" t="str">
        <f>IFERROR(IF(COUNT($A$33:A76)&lt;=$G$38,IF($G$37="Monthly",DATE(YEAR(B75),MONTH(B75)+1,MIN(DAY(B75),28)),B75+14),""),"")</f>
        <v/>
      </c>
      <c r="C76" s="27">
        <f>IF(B76&lt;&gt;"",IF(COUNT($A$33:A76)&lt;=$G$39,0,$G$41)+IF(COUNT($A$33:A76)&lt;=$G$40,0,$G$42),0)</f>
        <v>0</v>
      </c>
      <c r="D76" s="170" t="str">
        <f>IFERROR(DATE(YEAR(B76),MONTH(B76),1)," ")</f>
        <v> </v>
      </c>
    </row>
    <row r="77" spans="1:52">
      <c r="A77">
        <f>A76+1</f>
        <v>45</v>
      </c>
      <c r="B77" s="128" t="str">
        <f>IFERROR(IF(COUNT($A$33:A77)&lt;=$G$38,IF($G$37="Monthly",DATE(YEAR(B76),MONTH(B76)+1,MIN(DAY(B76),28)),B76+14),""),"")</f>
        <v/>
      </c>
      <c r="C77" s="27">
        <f>IF(B77&lt;&gt;"",IF(COUNT($A$33:A77)&lt;=$G$39,0,$G$41)+IF(COUNT($A$33:A77)&lt;=$G$40,0,$G$42),0)</f>
        <v>0</v>
      </c>
      <c r="D77" s="170" t="str">
        <f>IFERROR(DATE(YEAR(B77),MONTH(B77),1)," ")</f>
        <v> </v>
      </c>
    </row>
    <row r="78" spans="1:52">
      <c r="A78">
        <f>A77+1</f>
        <v>46</v>
      </c>
      <c r="B78" s="128" t="str">
        <f>IFERROR(IF(COUNT($A$33:A78)&lt;=$G$38,IF($G$37="Monthly",DATE(YEAR(B77),MONTH(B77)+1,MIN(DAY(B77),28)),B77+14),""),"")</f>
        <v/>
      </c>
      <c r="C78" s="27">
        <f>IF(B78&lt;&gt;"",IF(COUNT($A$33:A78)&lt;=$G$39,0,$G$41)+IF(COUNT($A$33:A78)&lt;=$G$40,0,$G$42),0)</f>
        <v>0</v>
      </c>
      <c r="D78" s="170" t="str">
        <f>IFERROR(DATE(YEAR(B78),MONTH(B78),1)," ")</f>
        <v> </v>
      </c>
    </row>
    <row r="79" spans="1:52">
      <c r="A79">
        <f>A78+1</f>
        <v>47</v>
      </c>
      <c r="B79" s="128" t="str">
        <f>IFERROR(IF(COUNT($A$33:A79)&lt;=$G$38,IF($G$37="Monthly",DATE(YEAR(B78),MONTH(B78)+1,MIN(DAY(B78),28)),B78+14),""),"")</f>
        <v/>
      </c>
      <c r="C79" s="27">
        <f>IF(B79&lt;&gt;"",IF(COUNT($A$33:A79)&lt;=$G$39,0,$G$41)+IF(COUNT($A$33:A79)&lt;=$G$40,0,$G$42),0)</f>
        <v>0</v>
      </c>
      <c r="D79" s="170" t="str">
        <f>IFERROR(DATE(YEAR(B79),MONTH(B79),1)," ")</f>
        <v> </v>
      </c>
    </row>
    <row r="80" spans="1:52">
      <c r="A80">
        <f>A79+1</f>
        <v>48</v>
      </c>
      <c r="B80" s="128" t="str">
        <f>IFERROR(IF(COUNT($A$33:A80)&lt;=$G$38,IF($G$37="Monthly",DATE(YEAR(B79),MONTH(B79)+1,MIN(DAY(B79),28)),B79+14),""),"")</f>
        <v/>
      </c>
      <c r="C80" s="27">
        <f>IF(B80&lt;&gt;"",IF(COUNT($A$33:A80)&lt;=$G$39,0,$G$41)+IF(COUNT($A$33:A80)&lt;=$G$40,0,$G$42),0)</f>
        <v>0</v>
      </c>
      <c r="D80" s="170" t="str">
        <f>IFERROR(DATE(YEAR(B80),MONTH(B80),1)," ")</f>
        <v> </v>
      </c>
    </row>
    <row r="81" spans="1:52">
      <c r="A81">
        <f>A80+1</f>
        <v>49</v>
      </c>
      <c r="B81" s="128" t="str">
        <f>IFERROR(IF(COUNT($A$33:A81)&lt;=$G$38,IF($G$37="Monthly",DATE(YEAR(B80),MONTH(B80)+1,MIN(DAY(B80),28)),B80+14),""),"")</f>
        <v/>
      </c>
      <c r="C81" s="27">
        <f>IF(B81&lt;&gt;"",IF(COUNT($A$33:A81)&lt;=$G$39,0,$G$41)+IF(COUNT($A$33:A81)&lt;=$G$40,0,$G$42),0)</f>
        <v>0</v>
      </c>
      <c r="D81" s="170" t="str">
        <f>IFERROR(DATE(YEAR(B81),MONTH(B81),1)," ")</f>
        <v> </v>
      </c>
    </row>
    <row r="82" spans="1:52">
      <c r="A82">
        <f>A81+1</f>
        <v>50</v>
      </c>
      <c r="B82" s="128" t="str">
        <f>IFERROR(IF(COUNT($A$33:A82)&lt;=$G$38,IF($G$37="Monthly",DATE(YEAR(B81),MONTH(B81)+1,MIN(DAY(B81),28)),B81+14),""),"")</f>
        <v/>
      </c>
      <c r="C82" s="27">
        <f>IF(B82&lt;&gt;"",IF(COUNT($A$33:A82)&lt;=$G$39,0,$G$41)+IF(COUNT($A$33:A82)&lt;=$G$40,0,$G$42),0)</f>
        <v>0</v>
      </c>
      <c r="D82" s="170" t="str">
        <f>IFERROR(DATE(YEAR(B82),MONTH(B82),1)," ")</f>
        <v> </v>
      </c>
    </row>
    <row r="83" spans="1:52">
      <c r="A83">
        <f>A82+1</f>
        <v>51</v>
      </c>
      <c r="B83" s="128" t="str">
        <f>IFERROR(IF(COUNT($A$33:A83)&lt;=$G$38,IF($G$37="Monthly",DATE(YEAR(B82),MONTH(B82)+1,MIN(DAY(B82),28)),B82+14),""),"")</f>
        <v/>
      </c>
      <c r="C83" s="27">
        <f>IF(B83&lt;&gt;"",IF(COUNT($A$33:A83)&lt;=$G$39,0,$G$41)+IF(COUNT($A$33:A83)&lt;=$G$40,0,$G$42),0)</f>
        <v>0</v>
      </c>
      <c r="D83" s="170" t="str">
        <f>IFERROR(DATE(YEAR(B83),MONTH(B83),1)," ")</f>
        <v> </v>
      </c>
    </row>
    <row r="84" spans="1:52">
      <c r="A84">
        <f>A83+1</f>
        <v>52</v>
      </c>
      <c r="B84" s="128" t="str">
        <f>IFERROR(IF(COUNT($A$33:A84)&lt;=$G$38,IF($G$37="Monthly",DATE(YEAR(B83),MONTH(B83)+1,MIN(DAY(B83),28)),B83+14),""),"")</f>
        <v/>
      </c>
      <c r="C84" s="27">
        <f>IF(B84&lt;&gt;"",IF(COUNT($A$33:A84)&lt;=$G$39,0,$G$41)+IF(COUNT($A$33:A84)&lt;=$G$40,0,$G$42),0)</f>
        <v>0</v>
      </c>
      <c r="D84" s="170" t="str">
        <f>IFERROR(DATE(YEAR(B84),MONTH(B84),1)," ")</f>
        <v> 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J93"/>
  <sheetViews>
    <sheetView tabSelected="0" workbookViewId="0" zoomScale="90" zoomScaleNormal="90" showGridLines="false" showRowColHeaders="1">
      <pane xSplit="19" topLeftCell="T1" activePane="topRight" state="frozen"/>
      <selection pane="topRight" activeCell="T1" sqref="T1"/>
    </sheetView>
  </sheetViews>
  <sheetFormatPr defaultRowHeight="14.4" outlineLevelRow="0" outlineLevelCol="0"/>
  <cols>
    <col min="1" max="1" width="27.85546875" customWidth="true" style="0"/>
    <col min="2" max="2" width="18" customWidth="true" style="12"/>
    <col min="3" max="3" width="26" customWidth="true" style="12"/>
    <col min="4" max="4" width="18" customWidth="true" style="12"/>
    <col min="5" max="5" width="28" customWidth="true" style="12"/>
    <col min="6" max="6" width="29.7109375" customWidth="true" style="12"/>
    <col min="7" max="7" width="18" customWidth="true" style="12"/>
    <col min="8" max="8" width="19.42578125" customWidth="true" style="12"/>
    <col min="9" max="9" width="19.85546875" customWidth="true" style="12"/>
    <col min="10" max="10" width="25.28515625" customWidth="true" style="12"/>
    <col min="11" max="11" width="18" customWidth="true" style="12"/>
    <col min="12" max="12" width="18" customWidth="true" style="12"/>
    <col min="13" max="13" width="18" customWidth="true" style="12"/>
    <col min="14" max="14" width="16" customWidth="true" style="12"/>
    <col min="15" max="15" width="18" customWidth="true" style="12"/>
    <col min="16" max="16" width="17.5703125" customWidth="true" style="12"/>
    <col min="17" max="17" width="18" customWidth="true" style="12"/>
    <col min="18" max="18" width="18" customWidth="true" style="12"/>
    <col min="19" max="19" width="18.85546875" customWidth="true" style="12"/>
    <col min="20" max="20" width="15.7109375" customWidth="true" style="12"/>
    <col min="21" max="21" width="18.140625" customWidth="true" style="12"/>
    <col min="22" max="22" width="14.42578125" customWidth="true" style="12"/>
    <col min="23" max="23" width="15.140625" customWidth="true" style="12"/>
    <col min="24" max="24" width="15.85546875" customWidth="true" style="12"/>
    <col min="25" max="25" width="7.140625" customWidth="true" style="12"/>
    <col min="26" max="26" width="7.140625" customWidth="true" style="12"/>
    <col min="27" max="27" width="7.140625" customWidth="true" style="12"/>
    <col min="28" max="28" width="7.140625" customWidth="true" style="12"/>
    <col min="29" max="29" width="7.140625" customWidth="true" style="12"/>
    <col min="30" max="30" width="7.140625" customWidth="true" style="12"/>
    <col min="31" max="31" width="7.28515625" customWidth="true" style="12"/>
    <col min="32" max="32" width="7.28515625" customWidth="true" style="12"/>
    <col min="33" max="33" width="7.28515625" customWidth="true" style="12"/>
    <col min="34" max="34" width="7.28515625" customWidth="true" style="12"/>
    <col min="35" max="35" width="7.28515625" customWidth="true" style="12"/>
  </cols>
  <sheetData>
    <row r="1" spans="1:36">
      <c r="A1" s="3" t="s">
        <v>73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12"/>
      <c r="AF1" s="12"/>
      <c r="AG1" s="12"/>
      <c r="AH1" s="12"/>
      <c r="AI1" s="12"/>
    </row>
    <row r="2" spans="1:36">
      <c r="A2" s="6"/>
      <c r="B2" s="13"/>
      <c r="C2" s="90"/>
      <c r="D2" s="90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>
        <v>1</v>
      </c>
      <c r="Y2" s="13">
        <v>2</v>
      </c>
      <c r="Z2" s="13">
        <v>3</v>
      </c>
      <c r="AA2" s="13">
        <v>4</v>
      </c>
      <c r="AB2" s="13">
        <v>5</v>
      </c>
      <c r="AC2" s="13">
        <v>6</v>
      </c>
      <c r="AD2" s="13">
        <v>7</v>
      </c>
      <c r="AE2" s="13">
        <v>8</v>
      </c>
      <c r="AF2" s="13">
        <v>9</v>
      </c>
      <c r="AG2" s="13">
        <v>10</v>
      </c>
      <c r="AH2" s="13">
        <v>11</v>
      </c>
      <c r="AI2" s="13">
        <v>12</v>
      </c>
    </row>
    <row r="3" spans="1:36" customHeight="1" ht="60">
      <c r="A3" s="8" t="s">
        <v>75</v>
      </c>
      <c r="B3" s="10" t="s">
        <v>243</v>
      </c>
      <c r="C3" s="10" t="s">
        <v>244</v>
      </c>
      <c r="D3" s="10" t="s">
        <v>245</v>
      </c>
      <c r="E3" s="10" t="s">
        <v>246</v>
      </c>
      <c r="F3" s="10" t="s">
        <v>247</v>
      </c>
      <c r="G3" s="10" t="s">
        <v>248</v>
      </c>
      <c r="H3" s="10" t="s">
        <v>249</v>
      </c>
      <c r="I3" s="10" t="s">
        <v>250</v>
      </c>
      <c r="J3" s="10" t="s">
        <v>251</v>
      </c>
      <c r="K3" s="10" t="s">
        <v>252</v>
      </c>
      <c r="L3" s="10" t="s">
        <v>253</v>
      </c>
      <c r="M3" s="10" t="s">
        <v>254</v>
      </c>
      <c r="N3" s="10" t="s">
        <v>255</v>
      </c>
      <c r="O3" s="10" t="s">
        <v>256</v>
      </c>
      <c r="P3" s="10" t="s">
        <v>257</v>
      </c>
      <c r="Q3" s="10" t="s">
        <v>258</v>
      </c>
      <c r="R3" s="10" t="s">
        <v>259</v>
      </c>
      <c r="S3" s="10" t="s">
        <v>260</v>
      </c>
      <c r="T3" s="10" t="s">
        <v>261</v>
      </c>
      <c r="U3" s="10" t="s">
        <v>201</v>
      </c>
      <c r="V3" s="10" t="s">
        <v>199</v>
      </c>
      <c r="W3" s="10" t="s">
        <v>262</v>
      </c>
      <c r="X3" s="10" t="s">
        <v>263</v>
      </c>
      <c r="Y3" s="10" t="s">
        <v>264</v>
      </c>
      <c r="Z3" s="10" t="s">
        <v>265</v>
      </c>
      <c r="AA3" s="10" t="s">
        <v>266</v>
      </c>
      <c r="AB3" s="10" t="s">
        <v>267</v>
      </c>
      <c r="AC3" s="10" t="s">
        <v>268</v>
      </c>
      <c r="AD3" s="10" t="s">
        <v>269</v>
      </c>
      <c r="AE3" s="10" t="s">
        <v>270</v>
      </c>
      <c r="AF3" s="10" t="s">
        <v>271</v>
      </c>
      <c r="AG3" s="10" t="s">
        <v>272</v>
      </c>
      <c r="AH3" s="10" t="s">
        <v>273</v>
      </c>
      <c r="AI3" s="10" t="s">
        <v>274</v>
      </c>
    </row>
    <row r="4" spans="1:36" s="93" customFormat="1">
      <c r="A4" s="93" t="s">
        <v>89</v>
      </c>
      <c r="B4" s="94">
        <v>6609.764</v>
      </c>
      <c r="C4" s="95">
        <v>0.5129133203545542</v>
      </c>
      <c r="D4" s="96">
        <v>0.09999999999999998</v>
      </c>
      <c r="E4" s="96">
        <v>0.2</v>
      </c>
      <c r="F4" s="96">
        <v>0.1499999999999999</v>
      </c>
      <c r="G4" s="94">
        <f>B4*(1+C4)*(1+E4)*(1+F4)</f>
        <v>13800</v>
      </c>
      <c r="H4" s="96">
        <v>0.8</v>
      </c>
      <c r="I4" s="94">
        <v>2000</v>
      </c>
      <c r="J4" s="94">
        <v>0</v>
      </c>
      <c r="K4" s="94">
        <v>0</v>
      </c>
      <c r="L4" s="94" t="s">
        <v>275</v>
      </c>
      <c r="M4" s="94">
        <v>25</v>
      </c>
      <c r="N4" s="94">
        <v>150</v>
      </c>
      <c r="O4" s="94">
        <f>50*250</f>
        <v>12500</v>
      </c>
      <c r="P4" s="94">
        <v>2000</v>
      </c>
      <c r="Q4" s="94">
        <v>7000</v>
      </c>
      <c r="R4" s="97">
        <v>0</v>
      </c>
      <c r="S4" s="94">
        <v>21</v>
      </c>
      <c r="T4" s="94">
        <v>21</v>
      </c>
      <c r="U4" s="96">
        <v>0</v>
      </c>
      <c r="V4" s="96">
        <v>0</v>
      </c>
      <c r="W4" s="94" t="s">
        <v>276</v>
      </c>
      <c r="X4" s="96">
        <f>1/12</f>
        <v>0.08333333333333333</v>
      </c>
      <c r="Y4" s="96">
        <f>1/12</f>
        <v>0.08333333333333333</v>
      </c>
      <c r="Z4" s="96">
        <f>1/12</f>
        <v>0.08333333333333333</v>
      </c>
      <c r="AA4" s="96">
        <f>1/12</f>
        <v>0.08333333333333333</v>
      </c>
      <c r="AB4" s="96">
        <f>1/12</f>
        <v>0.08333333333333333</v>
      </c>
      <c r="AC4" s="96">
        <f>1/12</f>
        <v>0.08333333333333333</v>
      </c>
      <c r="AD4" s="96">
        <f>1/12</f>
        <v>0.08333333333333333</v>
      </c>
      <c r="AE4" s="96">
        <f>1/12</f>
        <v>0.08333333333333333</v>
      </c>
      <c r="AF4" s="96">
        <f>1/12</f>
        <v>0.08333333333333333</v>
      </c>
      <c r="AG4" s="96">
        <f>1/12</f>
        <v>0.08333333333333333</v>
      </c>
      <c r="AH4" s="96">
        <f>1/12</f>
        <v>0.08333333333333333</v>
      </c>
      <c r="AI4" s="96">
        <f>1/12</f>
        <v>0.08333333333333333</v>
      </c>
    </row>
    <row r="5" spans="1:36" s="93" customFormat="1">
      <c r="A5" s="98" t="s">
        <v>277</v>
      </c>
      <c r="B5" s="99">
        <v>150</v>
      </c>
      <c r="C5" s="100">
        <v>1.074888155599484</v>
      </c>
      <c r="D5" s="101">
        <v>0.3198443137422906</v>
      </c>
      <c r="E5" s="101">
        <v>0.6752268845670577</v>
      </c>
      <c r="F5" s="101">
        <v>0.9179638413104476</v>
      </c>
      <c r="G5" s="99">
        <v>1000</v>
      </c>
      <c r="H5" s="101">
        <v>1</v>
      </c>
      <c r="I5" s="99">
        <v>50</v>
      </c>
      <c r="J5" s="99">
        <v>1200</v>
      </c>
      <c r="K5" s="99">
        <v>25</v>
      </c>
      <c r="L5" s="99" t="s">
        <v>278</v>
      </c>
      <c r="M5" s="99">
        <v>100</v>
      </c>
      <c r="N5" s="99">
        <v>250</v>
      </c>
      <c r="O5" s="99">
        <v>20000</v>
      </c>
      <c r="P5" s="99">
        <v>3000</v>
      </c>
      <c r="Q5" s="99">
        <v>6000</v>
      </c>
      <c r="R5" s="102">
        <f>750/900</f>
        <v>0.8333333333333334</v>
      </c>
      <c r="S5" s="99">
        <v>24.5</v>
      </c>
      <c r="T5" s="99">
        <v>24.5</v>
      </c>
      <c r="U5" s="96">
        <v>0</v>
      </c>
      <c r="V5" s="101">
        <v>0.1</v>
      </c>
      <c r="W5" s="99">
        <v>4</v>
      </c>
      <c r="X5" s="101"/>
      <c r="Y5" s="101"/>
      <c r="Z5" s="101"/>
      <c r="AA5" s="101"/>
      <c r="AB5" s="101"/>
      <c r="AC5" s="101"/>
      <c r="AD5" s="101"/>
      <c r="AE5" s="101"/>
      <c r="AF5" s="101"/>
      <c r="AG5" s="101"/>
      <c r="AH5" s="101"/>
      <c r="AI5" s="101"/>
    </row>
    <row r="6" spans="1:36" s="93" customFormat="1">
      <c r="A6" s="93" t="s">
        <v>279</v>
      </c>
      <c r="B6" s="94">
        <v>4606.651</v>
      </c>
      <c r="C6" s="95">
        <v>0.2517540186147535</v>
      </c>
      <c r="D6" s="96">
        <v>0.4418961103071815</v>
      </c>
      <c r="E6" s="96">
        <v>0.7733181930375674</v>
      </c>
      <c r="F6" s="96">
        <v>0.5646925232684419</v>
      </c>
      <c r="G6" s="94">
        <v>16000</v>
      </c>
      <c r="H6" s="96">
        <v>0.1</v>
      </c>
      <c r="I6" s="94">
        <v>120</v>
      </c>
      <c r="J6" s="94">
        <v>0</v>
      </c>
      <c r="K6" s="97">
        <v>0.1212</v>
      </c>
      <c r="L6" s="94" t="s">
        <v>278</v>
      </c>
      <c r="M6" s="94">
        <v>5000</v>
      </c>
      <c r="N6" s="94">
        <v>6000</v>
      </c>
      <c r="O6" s="94">
        <v>15000</v>
      </c>
      <c r="P6" s="94">
        <v>2800</v>
      </c>
      <c r="Q6" s="94">
        <v>8000</v>
      </c>
      <c r="R6" s="97">
        <v>0</v>
      </c>
      <c r="S6" s="94">
        <v>14</v>
      </c>
      <c r="T6" s="94">
        <v>14</v>
      </c>
      <c r="U6" s="96">
        <v>0</v>
      </c>
      <c r="V6" s="96">
        <v>0</v>
      </c>
      <c r="W6" s="94">
        <v>3</v>
      </c>
      <c r="X6" s="96"/>
      <c r="Y6" s="96"/>
      <c r="Z6" s="96"/>
      <c r="AA6" s="96"/>
      <c r="AB6" s="96"/>
      <c r="AC6" s="96"/>
      <c r="AD6" s="96"/>
      <c r="AE6" s="96"/>
      <c r="AF6" s="96"/>
      <c r="AG6" s="96"/>
      <c r="AH6" s="96"/>
      <c r="AI6" s="96"/>
    </row>
    <row r="7" spans="1:36" s="93" customFormat="1">
      <c r="A7" s="93" t="s">
        <v>280</v>
      </c>
      <c r="B7" s="94">
        <v>5000</v>
      </c>
      <c r="C7" s="95">
        <v>0.354935898357251</v>
      </c>
      <c r="D7" s="96">
        <v>0.4722649580394285</v>
      </c>
      <c r="E7" s="96">
        <v>0.7083974370591428</v>
      </c>
      <c r="F7" s="96">
        <v>0.296025641906936</v>
      </c>
      <c r="G7" s="94">
        <v>15000</v>
      </c>
      <c r="H7" s="96">
        <v>0.1</v>
      </c>
      <c r="I7" s="94">
        <v>80</v>
      </c>
      <c r="J7" s="94">
        <v>0</v>
      </c>
      <c r="K7" s="97">
        <v>2.6</v>
      </c>
      <c r="L7" s="94" t="s">
        <v>278</v>
      </c>
      <c r="M7" s="94">
        <v>4000</v>
      </c>
      <c r="N7" s="94">
        <v>6400</v>
      </c>
      <c r="O7" s="94">
        <v>20000</v>
      </c>
      <c r="P7" s="94">
        <v>1900</v>
      </c>
      <c r="Q7" s="94">
        <v>10000</v>
      </c>
      <c r="R7" s="97">
        <v>0</v>
      </c>
      <c r="S7" s="94">
        <v>28</v>
      </c>
      <c r="T7" s="94">
        <v>28</v>
      </c>
      <c r="U7" s="96">
        <v>0</v>
      </c>
      <c r="V7" s="96">
        <v>0</v>
      </c>
      <c r="W7" s="94">
        <v>4</v>
      </c>
      <c r="X7" s="96"/>
      <c r="Y7" s="96"/>
      <c r="Z7" s="96"/>
      <c r="AA7" s="96"/>
      <c r="AB7" s="96"/>
      <c r="AC7" s="96"/>
      <c r="AD7" s="96"/>
      <c r="AE7" s="96"/>
      <c r="AF7" s="96"/>
      <c r="AG7" s="96"/>
      <c r="AH7" s="96"/>
      <c r="AI7" s="96"/>
    </row>
    <row r="8" spans="1:36" s="93" customFormat="1">
      <c r="A8" s="93" t="s">
        <v>281</v>
      </c>
      <c r="B8" s="94">
        <v>3956.358</v>
      </c>
      <c r="C8" s="95">
        <v>0.3257141619873105</v>
      </c>
      <c r="D8" s="96">
        <v>0.06087906853309299</v>
      </c>
      <c r="E8" s="96">
        <v>0.121758137066186</v>
      </c>
      <c r="F8" s="96">
        <v>0.01978012460562351</v>
      </c>
      <c r="G8" s="94">
        <v>6000</v>
      </c>
      <c r="H8" s="101">
        <v>1</v>
      </c>
      <c r="I8" s="94">
        <v>2000</v>
      </c>
      <c r="J8" s="94">
        <v>0</v>
      </c>
      <c r="K8" s="94">
        <v>6000</v>
      </c>
      <c r="L8" s="94" t="s">
        <v>282</v>
      </c>
      <c r="M8" s="103">
        <v>0</v>
      </c>
      <c r="N8" s="103">
        <v>0</v>
      </c>
      <c r="O8" s="94">
        <v>3000</v>
      </c>
      <c r="P8" s="94">
        <v>1000</v>
      </c>
      <c r="Q8" s="94">
        <v>5000</v>
      </c>
      <c r="R8" s="97">
        <v>0</v>
      </c>
      <c r="S8" s="94">
        <f>(20/1.5)*0.7</f>
        <v>9.333333333333334</v>
      </c>
      <c r="T8" s="94">
        <v>9.1</v>
      </c>
      <c r="U8" s="96">
        <v>0</v>
      </c>
      <c r="V8" s="96">
        <v>0</v>
      </c>
      <c r="W8" s="94">
        <v>15</v>
      </c>
      <c r="X8" s="104"/>
      <c r="Y8" s="104"/>
      <c r="Z8" s="104"/>
      <c r="AA8" s="104"/>
      <c r="AB8" s="104"/>
      <c r="AC8" s="104"/>
      <c r="AD8" s="104"/>
      <c r="AE8" s="104"/>
      <c r="AF8" s="104"/>
      <c r="AG8" s="104"/>
      <c r="AH8" s="104"/>
      <c r="AI8" s="104"/>
    </row>
    <row r="9" spans="1:36" s="21" customFormat="1">
      <c r="A9" s="21" t="s">
        <v>283</v>
      </c>
      <c r="B9" s="94">
        <v>110.40512</v>
      </c>
      <c r="C9" s="95">
        <v>0.7297801632267031</v>
      </c>
      <c r="D9" s="96">
        <v>0.9568021469040328</v>
      </c>
      <c r="E9" s="96">
        <v>1.594670244840055</v>
      </c>
      <c r="F9" s="96">
        <v>1.421692228517384</v>
      </c>
      <c r="G9" s="72">
        <v>1200</v>
      </c>
      <c r="H9" s="101">
        <v>1</v>
      </c>
      <c r="I9" s="94">
        <v>150</v>
      </c>
      <c r="J9" s="94">
        <v>0</v>
      </c>
      <c r="K9" s="72">
        <v>0</v>
      </c>
      <c r="L9" s="72" t="s">
        <v>276</v>
      </c>
      <c r="M9" s="94">
        <v>0</v>
      </c>
      <c r="N9" s="94">
        <v>0</v>
      </c>
      <c r="O9" s="94">
        <v>25000</v>
      </c>
      <c r="P9" s="94">
        <v>5250</v>
      </c>
      <c r="Q9" s="94">
        <v>5000</v>
      </c>
      <c r="R9" s="97">
        <v>0</v>
      </c>
      <c r="S9" s="94">
        <v>44.8</v>
      </c>
      <c r="T9" s="94">
        <v>44.8</v>
      </c>
      <c r="U9" s="96">
        <v>0</v>
      </c>
      <c r="V9" s="96">
        <v>0</v>
      </c>
      <c r="W9" s="94" t="s">
        <v>276</v>
      </c>
      <c r="X9" s="96">
        <v>0.1282051282051282</v>
      </c>
      <c r="Y9" s="96">
        <v>0.1282051282051282</v>
      </c>
      <c r="Z9" s="96">
        <v>0.1025641025641026</v>
      </c>
      <c r="AA9" s="96">
        <v>0.05128205128205128</v>
      </c>
      <c r="AB9" s="96">
        <v>0</v>
      </c>
      <c r="AC9" s="96">
        <v>0.1282051282051282</v>
      </c>
      <c r="AD9" s="96">
        <v>0.1282051282051282</v>
      </c>
      <c r="AE9" s="96">
        <v>0.05128205128205128</v>
      </c>
      <c r="AF9" s="96">
        <v>0</v>
      </c>
      <c r="AG9" s="96">
        <v>0.05128205128205128</v>
      </c>
      <c r="AH9" s="96">
        <v>0.1025641025641026</v>
      </c>
      <c r="AI9" s="96">
        <v>0.1282051282051282</v>
      </c>
    </row>
    <row r="10" spans="1:36" s="21" customFormat="1">
      <c r="A10" s="21" t="s">
        <v>101</v>
      </c>
      <c r="B10" s="72">
        <v>400</v>
      </c>
      <c r="C10" s="105">
        <v>0.4626807482768855</v>
      </c>
      <c r="D10" s="106">
        <v>0.6187194454554448</v>
      </c>
      <c r="E10" s="106">
        <v>0.9280791681831673</v>
      </c>
      <c r="F10" s="106">
        <v>0.3961952597188454</v>
      </c>
      <c r="G10" s="72">
        <f>AVERAGE(450,2700)</f>
        <v>1575</v>
      </c>
      <c r="H10" s="101">
        <v>1</v>
      </c>
      <c r="I10" s="72">
        <v>150</v>
      </c>
      <c r="J10" s="72">
        <v>0</v>
      </c>
      <c r="K10" s="72">
        <v>10.1</v>
      </c>
      <c r="L10" s="94" t="s">
        <v>278</v>
      </c>
      <c r="M10" s="94">
        <v>30</v>
      </c>
      <c r="N10" s="94">
        <v>250</v>
      </c>
      <c r="O10" s="94">
        <v>12000</v>
      </c>
      <c r="P10" s="94">
        <v>300</v>
      </c>
      <c r="Q10" s="94">
        <v>5000</v>
      </c>
      <c r="R10" s="97">
        <v>2.3</v>
      </c>
      <c r="S10" s="94">
        <v>21</v>
      </c>
      <c r="T10" s="94">
        <v>21</v>
      </c>
      <c r="U10" s="96">
        <v>0</v>
      </c>
      <c r="V10" s="96">
        <v>0.2</v>
      </c>
      <c r="W10" s="94">
        <v>4</v>
      </c>
      <c r="X10" s="107"/>
      <c r="Y10" s="107"/>
      <c r="Z10" s="107"/>
      <c r="AA10" s="107"/>
      <c r="AB10" s="107"/>
      <c r="AC10" s="107"/>
      <c r="AD10" s="107"/>
      <c r="AE10" s="107"/>
      <c r="AF10" s="107"/>
      <c r="AG10" s="107"/>
      <c r="AH10" s="107"/>
      <c r="AI10" s="107"/>
    </row>
    <row r="11" spans="1:36" s="93" customFormat="1">
      <c r="A11" s="93" t="s">
        <v>284</v>
      </c>
      <c r="B11" s="94">
        <v>3000</v>
      </c>
      <c r="C11" s="95">
        <v>0.176316269351475</v>
      </c>
      <c r="D11" s="96">
        <v>0.1648744131117034</v>
      </c>
      <c r="E11" s="96">
        <v>0.3297488262234067</v>
      </c>
      <c r="F11" s="96">
        <v>0.2786046405994296</v>
      </c>
      <c r="G11" s="94">
        <v>6000</v>
      </c>
      <c r="H11" s="101">
        <v>1</v>
      </c>
      <c r="I11" s="94">
        <v>3500</v>
      </c>
      <c r="J11" s="94">
        <v>8000</v>
      </c>
      <c r="K11" s="94">
        <v>0</v>
      </c>
      <c r="L11" s="94" t="s">
        <v>276</v>
      </c>
      <c r="M11" s="94">
        <v>25</v>
      </c>
      <c r="N11" s="94">
        <v>150</v>
      </c>
      <c r="O11" s="94">
        <v>8000</v>
      </c>
      <c r="P11" s="94">
        <v>4500</v>
      </c>
      <c r="Q11" s="94">
        <v>5000</v>
      </c>
      <c r="R11" s="97">
        <v>0</v>
      </c>
      <c r="S11" s="94">
        <v>4.199999999999999</v>
      </c>
      <c r="T11" s="94">
        <v>10.12004</v>
      </c>
      <c r="U11" s="96">
        <v>0</v>
      </c>
      <c r="V11" s="96">
        <v>0</v>
      </c>
      <c r="W11" s="94" t="s">
        <v>276</v>
      </c>
      <c r="X11" s="96">
        <v>0.2290076335877863</v>
      </c>
      <c r="Y11" s="96">
        <v>0.2290076335877863</v>
      </c>
      <c r="Z11" s="96">
        <v>0.1374045801526718</v>
      </c>
      <c r="AA11" s="96">
        <v>0.03816793893129772</v>
      </c>
      <c r="AB11" s="96">
        <v>0.007633587786259543</v>
      </c>
      <c r="AC11" s="96">
        <v>0.007633587786259543</v>
      </c>
      <c r="AD11" s="96">
        <v>0.007633587786259543</v>
      </c>
      <c r="AE11" s="96">
        <v>0.007633587786259543</v>
      </c>
      <c r="AF11" s="96">
        <v>0.03053435114503817</v>
      </c>
      <c r="AG11" s="96">
        <v>0.04580152671755726</v>
      </c>
      <c r="AH11" s="96">
        <v>0.07633587786259544</v>
      </c>
      <c r="AI11" s="96">
        <v>0.183206106870229</v>
      </c>
    </row>
    <row r="12" spans="1:36" s="93" customFormat="1">
      <c r="A12" s="93" t="s">
        <v>285</v>
      </c>
      <c r="B12" s="94">
        <v>1634.843</v>
      </c>
      <c r="C12" s="95">
        <v>0.6095855211463104</v>
      </c>
      <c r="D12" s="96">
        <v>0.3622779577569519</v>
      </c>
      <c r="E12" s="96">
        <v>0.7245559155139039</v>
      </c>
      <c r="F12" s="96">
        <v>0.3221595352273263</v>
      </c>
      <c r="G12" s="94">
        <v>6000</v>
      </c>
      <c r="H12" s="96">
        <v>0.1</v>
      </c>
      <c r="I12" s="94">
        <v>100</v>
      </c>
      <c r="J12" s="94">
        <v>0</v>
      </c>
      <c r="K12" s="94">
        <v>1</v>
      </c>
      <c r="L12" s="94" t="s">
        <v>278</v>
      </c>
      <c r="M12" s="94">
        <v>1500</v>
      </c>
      <c r="N12" s="94">
        <v>2880</v>
      </c>
      <c r="O12" s="94">
        <v>15000</v>
      </c>
      <c r="P12" s="94">
        <v>2000</v>
      </c>
      <c r="Q12" s="94">
        <v>7000</v>
      </c>
      <c r="R12" s="97">
        <v>0</v>
      </c>
      <c r="S12" s="94">
        <v>56</v>
      </c>
      <c r="T12" s="94">
        <v>56</v>
      </c>
      <c r="U12" s="96">
        <v>0</v>
      </c>
      <c r="V12" s="96">
        <v>0</v>
      </c>
      <c r="W12" s="94">
        <v>5</v>
      </c>
      <c r="X12" s="104"/>
      <c r="Y12" s="104"/>
      <c r="Z12" s="104"/>
      <c r="AA12" s="104"/>
      <c r="AB12" s="104"/>
      <c r="AC12" s="104"/>
      <c r="AD12" s="104"/>
      <c r="AE12" s="104"/>
      <c r="AF12" s="104"/>
      <c r="AG12" s="104"/>
      <c r="AH12" s="104"/>
      <c r="AI12" s="104"/>
    </row>
    <row r="13" spans="1:36" s="21" customFormat="1">
      <c r="A13" s="21" t="s">
        <v>286</v>
      </c>
      <c r="B13" s="94">
        <v>3000</v>
      </c>
      <c r="C13" s="105">
        <v>0.7527429511974253</v>
      </c>
      <c r="D13" s="106">
        <v>0.3763714755987126</v>
      </c>
      <c r="E13" s="106">
        <v>0.7527429511974253</v>
      </c>
      <c r="F13" s="106">
        <v>0.6275470261118952</v>
      </c>
      <c r="G13" s="72">
        <v>15000</v>
      </c>
      <c r="H13" s="101">
        <v>1</v>
      </c>
      <c r="I13" s="72">
        <v>200</v>
      </c>
      <c r="J13" s="72">
        <v>1200</v>
      </c>
      <c r="K13" s="94">
        <v>800</v>
      </c>
      <c r="L13" s="72" t="s">
        <v>278</v>
      </c>
      <c r="M13" s="94">
        <v>30</v>
      </c>
      <c r="N13" s="108">
        <v>100</v>
      </c>
      <c r="O13" s="94">
        <v>12000</v>
      </c>
      <c r="P13" s="94">
        <v>4300</v>
      </c>
      <c r="Q13" s="94">
        <v>5000</v>
      </c>
      <c r="R13" s="97">
        <v>0</v>
      </c>
      <c r="S13" s="72">
        <v>11.2</v>
      </c>
      <c r="T13" s="72">
        <v>11.2</v>
      </c>
      <c r="U13" s="96">
        <v>0</v>
      </c>
      <c r="V13" s="96">
        <v>0</v>
      </c>
      <c r="W13" s="94">
        <v>4</v>
      </c>
      <c r="X13" s="107"/>
      <c r="Y13" s="107"/>
      <c r="Z13" s="107"/>
      <c r="AA13" s="107"/>
      <c r="AB13" s="107"/>
      <c r="AC13" s="107"/>
      <c r="AD13" s="107"/>
      <c r="AE13" s="107"/>
      <c r="AF13" s="107"/>
      <c r="AG13" s="107"/>
      <c r="AH13" s="107"/>
      <c r="AI13" s="107"/>
    </row>
    <row r="14" spans="1:36" s="21" customFormat="1">
      <c r="A14" s="21" t="s">
        <v>287</v>
      </c>
      <c r="B14" s="72">
        <v>3000</v>
      </c>
      <c r="C14" s="95">
        <v>0.5</v>
      </c>
      <c r="D14" s="96">
        <v>0.04999999999999997</v>
      </c>
      <c r="E14" s="96">
        <v>0.07499999999999996</v>
      </c>
      <c r="F14" s="96">
        <v>0.05000000000000004</v>
      </c>
      <c r="G14" s="72">
        <v>5079.375</v>
      </c>
      <c r="H14" s="101">
        <v>1</v>
      </c>
      <c r="I14" s="94">
        <v>0</v>
      </c>
      <c r="J14" s="94">
        <v>0</v>
      </c>
      <c r="K14" s="72">
        <v>11000</v>
      </c>
      <c r="L14" s="72" t="s">
        <v>282</v>
      </c>
      <c r="M14" s="97">
        <v>1</v>
      </c>
      <c r="N14" s="97">
        <v>1</v>
      </c>
      <c r="O14" s="94">
        <v>6600</v>
      </c>
      <c r="P14" s="94">
        <v>1000</v>
      </c>
      <c r="Q14" s="94">
        <v>5000</v>
      </c>
      <c r="R14" s="97">
        <v>0</v>
      </c>
      <c r="S14" s="72">
        <v>21</v>
      </c>
      <c r="T14" s="72">
        <v>28</v>
      </c>
      <c r="U14" s="96">
        <v>0</v>
      </c>
      <c r="V14" s="96">
        <v>0</v>
      </c>
      <c r="W14" s="94">
        <v>4</v>
      </c>
      <c r="X14" s="107"/>
      <c r="Y14" s="107"/>
      <c r="Z14" s="107"/>
      <c r="AA14" s="107"/>
      <c r="AB14" s="107"/>
      <c r="AC14" s="107"/>
      <c r="AD14" s="107"/>
      <c r="AE14" s="107"/>
      <c r="AF14" s="107"/>
      <c r="AG14" s="107"/>
      <c r="AH14" s="107"/>
      <c r="AI14" s="107"/>
    </row>
    <row r="15" spans="1:36" s="21" customFormat="1">
      <c r="A15" s="21" t="s">
        <v>288</v>
      </c>
      <c r="B15" s="72">
        <v>750</v>
      </c>
      <c r="C15" s="95">
        <v>0.1196227396285647</v>
      </c>
      <c r="D15" s="96">
        <v>0.6262684473857072</v>
      </c>
      <c r="E15" s="96">
        <v>1.127283205294273</v>
      </c>
      <c r="F15" s="96">
        <v>0.1196227396285647</v>
      </c>
      <c r="G15" s="72">
        <v>2000</v>
      </c>
      <c r="H15" s="101">
        <v>1</v>
      </c>
      <c r="I15" s="94">
        <v>120</v>
      </c>
      <c r="J15" s="94">
        <v>0</v>
      </c>
      <c r="K15" s="94">
        <v>0</v>
      </c>
      <c r="L15" s="94" t="s">
        <v>276</v>
      </c>
      <c r="M15" s="94">
        <v>0</v>
      </c>
      <c r="N15" s="94">
        <v>0</v>
      </c>
      <c r="O15" s="94">
        <v>30000</v>
      </c>
      <c r="P15" s="94">
        <v>1000</v>
      </c>
      <c r="Q15" s="94">
        <v>5000</v>
      </c>
      <c r="R15" s="97">
        <v>0</v>
      </c>
      <c r="S15" s="94">
        <v>32.2</v>
      </c>
      <c r="T15" s="94">
        <v>32.2</v>
      </c>
      <c r="U15" s="96">
        <f>32/46</f>
        <v>0.6956521739130435</v>
      </c>
      <c r="V15" s="96">
        <v>0</v>
      </c>
      <c r="W15" s="94" t="s">
        <v>276</v>
      </c>
      <c r="X15" s="96">
        <v>0.08333333333333333</v>
      </c>
      <c r="Y15" s="96">
        <v>0.08333333333333333</v>
      </c>
      <c r="Z15" s="96">
        <v>0.08333333333333333</v>
      </c>
      <c r="AA15" s="96">
        <v>0.08333333333333333</v>
      </c>
      <c r="AB15" s="96">
        <v>0.08333333333333333</v>
      </c>
      <c r="AC15" s="96">
        <v>0.08333333333333333</v>
      </c>
      <c r="AD15" s="96">
        <v>0.08333333333333333</v>
      </c>
      <c r="AE15" s="96">
        <v>0.08333333333333333</v>
      </c>
      <c r="AF15" s="96">
        <v>0.08333333333333333</v>
      </c>
      <c r="AG15" s="96">
        <v>0.08333333333333333</v>
      </c>
      <c r="AH15" s="96">
        <v>0.08333333333333333</v>
      </c>
      <c r="AI15" s="96">
        <v>0.08333333333333333</v>
      </c>
    </row>
    <row r="16" spans="1:36" s="21" customFormat="1">
      <c r="A16" s="21" t="s">
        <v>289</v>
      </c>
      <c r="B16" s="72">
        <v>2651.467</v>
      </c>
      <c r="C16" s="95">
        <v>0.2855621418680443</v>
      </c>
      <c r="D16" s="96">
        <v>0.09333637316986654</v>
      </c>
      <c r="E16" s="96">
        <v>0.1866727463397331</v>
      </c>
      <c r="F16" s="96">
        <v>0.4833409329246665</v>
      </c>
      <c r="G16" s="72">
        <v>6000</v>
      </c>
      <c r="H16" s="96">
        <v>0.1</v>
      </c>
      <c r="I16" s="94">
        <v>120</v>
      </c>
      <c r="J16" s="94">
        <v>1200</v>
      </c>
      <c r="K16" s="109">
        <v>0.75</v>
      </c>
      <c r="L16" s="72" t="s">
        <v>278</v>
      </c>
      <c r="M16" s="94">
        <v>1000</v>
      </c>
      <c r="N16" s="94">
        <v>2800</v>
      </c>
      <c r="O16" s="94">
        <v>35000</v>
      </c>
      <c r="P16" s="94">
        <v>4500</v>
      </c>
      <c r="Q16" s="94">
        <v>6000</v>
      </c>
      <c r="R16" s="97">
        <v>0</v>
      </c>
      <c r="S16" s="94">
        <v>35</v>
      </c>
      <c r="T16" s="94">
        <v>35</v>
      </c>
      <c r="U16" s="96">
        <v>0</v>
      </c>
      <c r="V16" s="96">
        <v>0</v>
      </c>
      <c r="W16" s="94">
        <v>3</v>
      </c>
      <c r="X16" s="107"/>
      <c r="Y16" s="107"/>
      <c r="Z16" s="107"/>
      <c r="AA16" s="107"/>
      <c r="AB16" s="107"/>
      <c r="AC16" s="107"/>
      <c r="AD16" s="107"/>
      <c r="AE16" s="107"/>
      <c r="AF16" s="107"/>
      <c r="AG16" s="107"/>
      <c r="AH16" s="107"/>
      <c r="AI16" s="107"/>
    </row>
    <row r="17" spans="1:36" s="21" customFormat="1">
      <c r="A17" s="87" t="s">
        <v>290</v>
      </c>
      <c r="B17" s="110">
        <v>933.898</v>
      </c>
      <c r="C17" s="111">
        <v>0.2611243556847038</v>
      </c>
      <c r="D17" s="112">
        <v>0.1807283130744685</v>
      </c>
      <c r="E17" s="112">
        <v>0.4066387044175541</v>
      </c>
      <c r="F17" s="112">
        <v>0.3581339215066039</v>
      </c>
      <c r="G17" s="31">
        <v>2250</v>
      </c>
      <c r="H17" s="112">
        <v>1</v>
      </c>
      <c r="I17" s="110">
        <v>100</v>
      </c>
      <c r="J17" s="110">
        <v>0</v>
      </c>
      <c r="K17" s="31">
        <v>50</v>
      </c>
      <c r="L17" s="31" t="s">
        <v>278</v>
      </c>
      <c r="M17" s="110">
        <v>77</v>
      </c>
      <c r="N17" s="110">
        <v>80</v>
      </c>
      <c r="O17" s="110">
        <v>15000</v>
      </c>
      <c r="P17" s="110">
        <v>9000</v>
      </c>
      <c r="Q17" s="110">
        <v>5000</v>
      </c>
      <c r="R17" s="113">
        <v>2.3</v>
      </c>
      <c r="S17" s="31">
        <v>27.3</v>
      </c>
      <c r="T17" s="31">
        <v>27.3</v>
      </c>
      <c r="U17" s="24">
        <v>0</v>
      </c>
      <c r="V17" s="112">
        <v>0</v>
      </c>
      <c r="W17" s="110">
        <v>5</v>
      </c>
      <c r="X17" s="114"/>
      <c r="Y17" s="114"/>
      <c r="Z17" s="114"/>
      <c r="AA17" s="114"/>
      <c r="AB17" s="114"/>
      <c r="AC17" s="114"/>
      <c r="AD17" s="114"/>
      <c r="AE17" s="114"/>
      <c r="AF17" s="114"/>
      <c r="AG17" s="114"/>
      <c r="AH17" s="114"/>
      <c r="AI17" s="114"/>
    </row>
    <row r="18" spans="1:36">
      <c r="A18" s="16" t="s">
        <v>95</v>
      </c>
      <c r="O18" s="86">
        <f>AVERAGE(O4:O17)</f>
        <v>16364.28571428571</v>
      </c>
      <c r="P18" s="86">
        <f>AVERAGE(P4:P17)</f>
        <v>3039.285714285714</v>
      </c>
      <c r="Q18" s="86">
        <f>AVERAGE(Q4:Q17)</f>
        <v>6000</v>
      </c>
    </row>
    <row r="20" spans="1:36">
      <c r="A20" s="3" t="s">
        <v>62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</row>
    <row r="21" spans="1:36">
      <c r="E21" s="2"/>
      <c r="F21" s="69"/>
    </row>
    <row r="22" spans="1:36" customHeight="1" ht="45">
      <c r="A22" s="8" t="s">
        <v>104</v>
      </c>
      <c r="B22" s="8" t="s">
        <v>291</v>
      </c>
      <c r="C22" s="10" t="s">
        <v>292</v>
      </c>
      <c r="D22" s="10" t="s">
        <v>293</v>
      </c>
      <c r="E22" s="10" t="s">
        <v>294</v>
      </c>
      <c r="F22" s="10" t="s">
        <v>295</v>
      </c>
      <c r="G22" s="10" t="s">
        <v>296</v>
      </c>
      <c r="H22" s="10" t="s">
        <v>297</v>
      </c>
      <c r="I22" s="10" t="s">
        <v>215</v>
      </c>
      <c r="J22" s="10" t="s">
        <v>298</v>
      </c>
      <c r="K22" s="10" t="s">
        <v>299</v>
      </c>
      <c r="L22" s="10" t="s">
        <v>300</v>
      </c>
      <c r="M22" s="10" t="s">
        <v>301</v>
      </c>
      <c r="N22" s="10" t="s">
        <v>302</v>
      </c>
      <c r="O22" s="10" t="s">
        <v>303</v>
      </c>
      <c r="P22" s="10" t="s">
        <v>304</v>
      </c>
    </row>
    <row r="23" spans="1:36" s="21" customFormat="1">
      <c r="A23" s="21" t="s">
        <v>305</v>
      </c>
      <c r="B23" s="21" t="s">
        <v>306</v>
      </c>
      <c r="C23" s="72" t="s">
        <v>307</v>
      </c>
      <c r="D23" s="115">
        <f>240/532</f>
        <v>0.4511278195488722</v>
      </c>
      <c r="E23" s="106">
        <f>260/240-1</f>
        <v>0.08333333333333326</v>
      </c>
      <c r="F23" s="106">
        <f>280/240-1</f>
        <v>0.1666666666666667</v>
      </c>
      <c r="G23" s="106">
        <v>0</v>
      </c>
      <c r="H23" s="116">
        <v>8</v>
      </c>
      <c r="I23" s="116">
        <v>1</v>
      </c>
      <c r="J23" s="72">
        <v>150</v>
      </c>
      <c r="K23" s="72">
        <v>150</v>
      </c>
      <c r="L23" s="116">
        <v>1</v>
      </c>
      <c r="M23" s="72">
        <f>2*3200/750</f>
        <v>8.533333333333333</v>
      </c>
      <c r="N23" s="72">
        <f>100/532*365</f>
        <v>68.60902255639097</v>
      </c>
      <c r="O23" s="72">
        <v>18</v>
      </c>
      <c r="P23" s="72">
        <v>18</v>
      </c>
      <c r="Q23" s="116"/>
      <c r="R23" s="116"/>
      <c r="S23" s="116"/>
      <c r="T23" s="116"/>
      <c r="U23" s="116"/>
      <c r="V23" s="116"/>
      <c r="W23" s="116"/>
      <c r="X23" s="116"/>
      <c r="Y23" s="116"/>
      <c r="Z23" s="116"/>
      <c r="AA23" s="116"/>
      <c r="AB23" s="116"/>
      <c r="AC23" s="116"/>
      <c r="AD23" s="116"/>
      <c r="AE23" s="116"/>
      <c r="AF23" s="116"/>
      <c r="AG23" s="116"/>
      <c r="AH23" s="116"/>
      <c r="AI23" s="116"/>
    </row>
    <row r="24" spans="1:36" s="21" customFormat="1">
      <c r="A24" s="21" t="s">
        <v>308</v>
      </c>
      <c r="B24" s="21" t="s">
        <v>309</v>
      </c>
      <c r="C24" s="116" t="s">
        <v>276</v>
      </c>
      <c r="D24" s="115" t="s">
        <v>276</v>
      </c>
      <c r="E24" s="106">
        <v>0.05</v>
      </c>
      <c r="F24" s="106">
        <v>0.1</v>
      </c>
      <c r="G24" s="106">
        <v>0.2</v>
      </c>
      <c r="H24" s="116" t="s">
        <v>276</v>
      </c>
      <c r="I24" s="116">
        <v>1</v>
      </c>
      <c r="J24" s="72">
        <v>450</v>
      </c>
      <c r="K24" s="72">
        <v>250</v>
      </c>
      <c r="L24" s="116">
        <v>1</v>
      </c>
      <c r="M24" s="72">
        <f>6*12/P24</f>
        <v>48</v>
      </c>
      <c r="N24" s="72">
        <f>5*12/P24</f>
        <v>40</v>
      </c>
      <c r="O24" s="72">
        <v>18</v>
      </c>
      <c r="P24" s="115">
        <v>1.5</v>
      </c>
      <c r="Q24" s="116"/>
      <c r="R24" s="116"/>
      <c r="S24" s="116"/>
      <c r="T24" s="116"/>
      <c r="U24" s="116"/>
      <c r="V24" s="116"/>
      <c r="W24" s="116"/>
      <c r="X24" s="116"/>
      <c r="Y24" s="116"/>
      <c r="Z24" s="116"/>
      <c r="AA24" s="116"/>
      <c r="AB24" s="116"/>
      <c r="AC24" s="116"/>
      <c r="AD24" s="116"/>
      <c r="AE24" s="116"/>
      <c r="AF24" s="116"/>
      <c r="AG24" s="116"/>
      <c r="AH24" s="116"/>
      <c r="AI24" s="116"/>
    </row>
    <row r="25" spans="1:36" s="21" customFormat="1">
      <c r="A25" s="16" t="s">
        <v>310</v>
      </c>
      <c r="B25" s="16" t="s">
        <v>311</v>
      </c>
      <c r="C25" s="30" t="s">
        <v>312</v>
      </c>
      <c r="D25" s="117">
        <v>3</v>
      </c>
      <c r="E25" s="106">
        <f>7/D25-1</f>
        <v>1.333333333333333</v>
      </c>
      <c r="F25" s="106">
        <f>9.5/D25-1</f>
        <v>2.166666666666667</v>
      </c>
      <c r="G25" s="22">
        <f>25/9.5-1</f>
        <v>1.631578947368421</v>
      </c>
      <c r="H25" s="116">
        <v>30</v>
      </c>
      <c r="I25" s="116" t="s">
        <v>276</v>
      </c>
      <c r="J25" s="72" t="s">
        <v>276</v>
      </c>
      <c r="K25" s="72" t="s">
        <v>276</v>
      </c>
      <c r="L25" s="116">
        <v>50</v>
      </c>
      <c r="M25" s="72">
        <v>1000</v>
      </c>
      <c r="N25" s="72">
        <f>6000*12/4/3</f>
        <v>6000</v>
      </c>
      <c r="O25" s="72">
        <v>60</v>
      </c>
      <c r="P25" s="72">
        <v>60</v>
      </c>
      <c r="Q25" s="116"/>
      <c r="R25" s="116"/>
      <c r="S25" s="116"/>
      <c r="T25" s="116"/>
      <c r="U25" s="116"/>
      <c r="V25" s="116"/>
      <c r="W25" s="116"/>
      <c r="X25" s="116"/>
      <c r="Y25" s="116"/>
      <c r="Z25" s="116"/>
      <c r="AA25" s="116"/>
      <c r="AB25" s="116"/>
      <c r="AC25" s="116"/>
      <c r="AD25" s="116"/>
      <c r="AE25" s="116"/>
      <c r="AF25" s="116"/>
      <c r="AG25" s="116"/>
      <c r="AH25" s="116"/>
      <c r="AI25" s="116"/>
    </row>
    <row r="26" spans="1:36" s="21" customFormat="1">
      <c r="A26" s="16" t="s">
        <v>116</v>
      </c>
      <c r="B26" s="16" t="s">
        <v>309</v>
      </c>
      <c r="C26" s="116" t="s">
        <v>276</v>
      </c>
      <c r="D26" s="115" t="s">
        <v>276</v>
      </c>
      <c r="E26" s="106">
        <v>0.2</v>
      </c>
      <c r="F26" s="106">
        <v>0.7</v>
      </c>
      <c r="G26" s="106">
        <v>2</v>
      </c>
      <c r="H26" s="116" t="s">
        <v>276</v>
      </c>
      <c r="I26" s="116">
        <v>100</v>
      </c>
      <c r="J26" s="72">
        <v>230</v>
      </c>
      <c r="K26" s="72">
        <v>230</v>
      </c>
      <c r="L26" s="116">
        <v>50</v>
      </c>
      <c r="M26" s="72">
        <v>600</v>
      </c>
      <c r="N26" s="72">
        <v>700</v>
      </c>
      <c r="O26" s="72">
        <v>36</v>
      </c>
      <c r="P26" s="72">
        <v>36</v>
      </c>
      <c r="Q26" s="116"/>
      <c r="R26" s="116"/>
      <c r="S26" s="116"/>
      <c r="T26" s="116"/>
      <c r="U26" s="116"/>
      <c r="V26" s="116"/>
      <c r="W26" s="116"/>
      <c r="X26" s="116"/>
      <c r="Y26" s="116"/>
      <c r="Z26" s="116"/>
      <c r="AA26" s="116"/>
      <c r="AB26" s="116"/>
      <c r="AC26" s="116"/>
      <c r="AD26" s="116"/>
      <c r="AE26" s="116"/>
      <c r="AF26" s="116"/>
      <c r="AG26" s="116"/>
      <c r="AH26" s="116"/>
      <c r="AI26" s="116"/>
    </row>
    <row r="27" spans="1:36" s="21" customFormat="1">
      <c r="A27" s="21" t="s">
        <v>118</v>
      </c>
      <c r="B27" s="71" t="s">
        <v>309</v>
      </c>
      <c r="C27" s="116" t="s">
        <v>276</v>
      </c>
      <c r="D27" s="115" t="s">
        <v>276</v>
      </c>
      <c r="E27" s="106">
        <v>0.15</v>
      </c>
      <c r="F27" s="106">
        <v>0.25</v>
      </c>
      <c r="G27" s="106">
        <v>1</v>
      </c>
      <c r="H27" s="116" t="s">
        <v>276</v>
      </c>
      <c r="I27" s="116">
        <v>8</v>
      </c>
      <c r="J27" s="72">
        <v>250</v>
      </c>
      <c r="K27" s="72">
        <v>250</v>
      </c>
      <c r="L27" s="116">
        <v>5</v>
      </c>
      <c r="M27" s="72">
        <v>200</v>
      </c>
      <c r="N27" s="72">
        <v>300</v>
      </c>
      <c r="O27" s="72">
        <v>24</v>
      </c>
      <c r="P27" s="72">
        <v>24</v>
      </c>
      <c r="Q27" s="116"/>
      <c r="R27" s="116"/>
      <c r="S27" s="116"/>
      <c r="T27" s="116"/>
      <c r="U27" s="116"/>
      <c r="V27" s="116"/>
      <c r="W27" s="116"/>
      <c r="X27" s="116"/>
      <c r="Y27" s="116"/>
      <c r="Z27" s="116"/>
      <c r="AA27" s="116"/>
      <c r="AB27" s="116"/>
      <c r="AC27" s="116"/>
      <c r="AD27" s="116"/>
      <c r="AE27" s="116"/>
      <c r="AF27" s="116"/>
      <c r="AG27" s="116"/>
      <c r="AH27" s="116"/>
      <c r="AI27" s="116"/>
    </row>
    <row r="28" spans="1:36" s="21" customFormat="1">
      <c r="A28" s="21" t="s">
        <v>313</v>
      </c>
      <c r="B28" s="71" t="s">
        <v>309</v>
      </c>
      <c r="C28" s="116" t="s">
        <v>276</v>
      </c>
      <c r="D28" s="115" t="s">
        <v>276</v>
      </c>
      <c r="E28" s="106">
        <v>0.15</v>
      </c>
      <c r="F28" s="106">
        <v>0.25</v>
      </c>
      <c r="G28" s="106">
        <v>1</v>
      </c>
      <c r="H28" s="116" t="s">
        <v>276</v>
      </c>
      <c r="I28" s="116">
        <v>15</v>
      </c>
      <c r="J28" s="72">
        <v>250</v>
      </c>
      <c r="K28" s="72">
        <v>250</v>
      </c>
      <c r="L28" s="116">
        <v>5</v>
      </c>
      <c r="M28" s="72">
        <v>200</v>
      </c>
      <c r="N28" s="72">
        <v>300</v>
      </c>
      <c r="O28" s="72">
        <v>24</v>
      </c>
      <c r="P28" s="72">
        <v>24</v>
      </c>
      <c r="Q28" s="116"/>
      <c r="R28" s="116"/>
      <c r="S28" s="116"/>
      <c r="T28" s="116"/>
      <c r="U28" s="116"/>
      <c r="V28" s="116"/>
      <c r="W28" s="116"/>
      <c r="X28" s="116"/>
      <c r="Y28" s="116"/>
      <c r="Z28" s="116"/>
      <c r="AA28" s="116"/>
      <c r="AB28" s="116"/>
      <c r="AC28" s="116"/>
      <c r="AD28" s="116"/>
      <c r="AE28" s="116"/>
      <c r="AF28" s="116"/>
      <c r="AG28" s="116"/>
      <c r="AH28" s="116"/>
      <c r="AI28" s="116"/>
    </row>
    <row r="29" spans="1:36" s="21" customFormat="1">
      <c r="A29" s="23" t="s">
        <v>314</v>
      </c>
      <c r="B29" s="118" t="s">
        <v>309</v>
      </c>
      <c r="C29" s="31" t="s">
        <v>276</v>
      </c>
      <c r="D29" s="31" t="s">
        <v>276</v>
      </c>
      <c r="E29" s="24">
        <v>0.1</v>
      </c>
      <c r="F29" s="24">
        <v>0.2</v>
      </c>
      <c r="G29" s="24">
        <v>0</v>
      </c>
      <c r="H29" s="31" t="s">
        <v>276</v>
      </c>
      <c r="I29" s="119">
        <v>60</v>
      </c>
      <c r="J29" s="31">
        <v>300</v>
      </c>
      <c r="K29" s="31">
        <v>300</v>
      </c>
      <c r="L29" s="119">
        <v>30</v>
      </c>
      <c r="M29" s="31">
        <v>200</v>
      </c>
      <c r="N29" s="31">
        <v>2000</v>
      </c>
      <c r="O29" s="31">
        <v>6</v>
      </c>
      <c r="P29" s="31">
        <v>6</v>
      </c>
      <c r="Q29" s="116"/>
      <c r="R29" s="116"/>
      <c r="S29" s="116"/>
      <c r="T29" s="116"/>
      <c r="U29" s="116"/>
      <c r="V29" s="116"/>
      <c r="W29" s="116"/>
      <c r="X29" s="116"/>
      <c r="Y29" s="116"/>
      <c r="Z29" s="116"/>
      <c r="AA29" s="116"/>
      <c r="AB29" s="116"/>
      <c r="AC29" s="116"/>
      <c r="AD29" s="116"/>
      <c r="AE29" s="116"/>
      <c r="AF29" s="116"/>
      <c r="AG29" s="116"/>
      <c r="AH29" s="116"/>
      <c r="AI29" s="116"/>
    </row>
    <row r="30" spans="1:36">
      <c r="A30" s="16" t="s">
        <v>315</v>
      </c>
      <c r="B30" s="70" t="s">
        <v>309</v>
      </c>
    </row>
    <row r="31" spans="1:36">
      <c r="H31" s="86"/>
      <c r="I31" s="86"/>
      <c r="AI31" s="12"/>
    </row>
    <row r="32" spans="1:36">
      <c r="A32" s="3" t="s">
        <v>316</v>
      </c>
      <c r="B32" s="9"/>
      <c r="C32" s="9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</row>
    <row r="34" spans="1:36">
      <c r="A34" s="5" t="s">
        <v>317</v>
      </c>
      <c r="B34" s="11" t="s">
        <v>318</v>
      </c>
    </row>
    <row r="35" spans="1:36">
      <c r="A35" t="s">
        <v>319</v>
      </c>
      <c r="B35" s="72">
        <v>60</v>
      </c>
      <c r="C35" s="86"/>
    </row>
    <row r="36" spans="1:36">
      <c r="A36" t="s">
        <v>320</v>
      </c>
      <c r="B36" s="72">
        <v>2000</v>
      </c>
      <c r="C36" s="86"/>
    </row>
    <row r="37" spans="1:36">
      <c r="A37" t="s">
        <v>321</v>
      </c>
      <c r="B37" s="2">
        <v>0.4</v>
      </c>
    </row>
    <row r="39" spans="1:36">
      <c r="A39" s="3" t="s">
        <v>322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</row>
    <row r="40" spans="1:36">
      <c r="B40" s="193" t="s">
        <v>323</v>
      </c>
      <c r="C40" s="193"/>
    </row>
    <row r="41" spans="1:36">
      <c r="A41" s="5" t="s">
        <v>104</v>
      </c>
      <c r="B41" s="191" t="s">
        <v>92</v>
      </c>
      <c r="C41" s="191" t="s">
        <v>98</v>
      </c>
    </row>
    <row r="42" spans="1:36">
      <c r="A42" t="s">
        <v>305</v>
      </c>
      <c r="B42" s="72">
        <v>450</v>
      </c>
      <c r="C42" s="72">
        <v>450</v>
      </c>
    </row>
    <row r="43" spans="1:36">
      <c r="A43" t="s">
        <v>308</v>
      </c>
      <c r="B43" s="72">
        <v>450</v>
      </c>
      <c r="C43" s="72">
        <v>250</v>
      </c>
    </row>
    <row r="44" spans="1:36">
      <c r="A44" t="s">
        <v>310</v>
      </c>
      <c r="B44" s="72">
        <v>50000</v>
      </c>
      <c r="C44" s="72">
        <v>200000</v>
      </c>
    </row>
    <row r="45" spans="1:36">
      <c r="A45" t="s">
        <v>116</v>
      </c>
      <c r="B45" s="72">
        <v>25000</v>
      </c>
      <c r="C45" s="72">
        <v>50000</v>
      </c>
    </row>
    <row r="46" spans="1:36">
      <c r="A46" t="s">
        <v>118</v>
      </c>
      <c r="B46" s="72">
        <v>6000</v>
      </c>
      <c r="C46" s="72">
        <v>12000</v>
      </c>
    </row>
    <row r="47" spans="1:36">
      <c r="A47" t="s">
        <v>313</v>
      </c>
      <c r="B47" s="72">
        <v>4500</v>
      </c>
      <c r="C47" s="72">
        <v>12000</v>
      </c>
    </row>
    <row r="48" spans="1:36">
      <c r="A48" t="s">
        <v>314</v>
      </c>
      <c r="B48" s="72">
        <v>20000</v>
      </c>
      <c r="C48" s="72">
        <v>20000</v>
      </c>
      <c r="D48" s="72"/>
    </row>
    <row r="50" spans="1:36">
      <c r="A50" s="3" t="s">
        <v>324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  <c r="AC50" s="9"/>
      <c r="AD50" s="9"/>
      <c r="AE50" s="9"/>
      <c r="AF50" s="9"/>
      <c r="AG50" s="9"/>
      <c r="AH50" s="9"/>
      <c r="AI50" s="9"/>
    </row>
    <row r="51" spans="1:36">
      <c r="B51" s="12"/>
      <c r="AJ51" s="12"/>
    </row>
    <row r="52" spans="1:36">
      <c r="B52" s="12"/>
      <c r="C52" s="88"/>
      <c r="D52" s="12" t="s">
        <v>101</v>
      </c>
      <c r="E52" s="12" t="s">
        <v>101</v>
      </c>
      <c r="F52" s="12" t="s">
        <v>101</v>
      </c>
      <c r="G52" s="12" t="s">
        <v>325</v>
      </c>
      <c r="H52" s="12" t="s">
        <v>137</v>
      </c>
      <c r="I52" s="12" t="s">
        <v>326</v>
      </c>
      <c r="AJ52" s="12"/>
    </row>
    <row r="53" spans="1:36" customHeight="1" ht="30">
      <c r="A53" s="11" t="s">
        <v>327</v>
      </c>
      <c r="B53" s="11" t="s">
        <v>328</v>
      </c>
      <c r="C53" s="11" t="s">
        <v>329</v>
      </c>
      <c r="D53" s="10" t="s">
        <v>243</v>
      </c>
      <c r="E53" s="10" t="s">
        <v>202</v>
      </c>
      <c r="F53" s="10" t="s">
        <v>262</v>
      </c>
      <c r="G53" s="10" t="s">
        <v>330</v>
      </c>
      <c r="H53" s="10" t="s">
        <v>331</v>
      </c>
      <c r="I53" s="10" t="s">
        <v>331</v>
      </c>
      <c r="AJ53" s="12"/>
    </row>
    <row r="54" spans="1:36">
      <c r="A54">
        <v>8</v>
      </c>
      <c r="B54" s="12" t="s">
        <v>332</v>
      </c>
      <c r="C54" s="12" t="s">
        <v>333</v>
      </c>
      <c r="D54" s="89">
        <v>465</v>
      </c>
      <c r="E54" s="89">
        <v>2</v>
      </c>
      <c r="F54" s="89">
        <v>4</v>
      </c>
      <c r="G54" s="7" t="s">
        <v>98</v>
      </c>
      <c r="H54" s="89">
        <f>I54</f>
        <v>16500000</v>
      </c>
      <c r="I54" s="89">
        <f>AVERAGE(3000000,30000000)</f>
        <v>16500000</v>
      </c>
      <c r="J54" s="7"/>
      <c r="AJ54" s="12"/>
    </row>
    <row r="55" spans="1:36">
      <c r="A55">
        <v>3</v>
      </c>
      <c r="B55" s="12" t="s">
        <v>334</v>
      </c>
      <c r="C55" s="12" t="s">
        <v>333</v>
      </c>
      <c r="D55" s="89">
        <v>465</v>
      </c>
      <c r="E55" s="89">
        <v>2</v>
      </c>
      <c r="F55" s="89">
        <v>4</v>
      </c>
      <c r="G55" s="7" t="s">
        <v>98</v>
      </c>
      <c r="H55" s="89">
        <f>I55</f>
        <v>16500000</v>
      </c>
      <c r="I55" s="89">
        <f>AVERAGE(3000000,30000000)</f>
        <v>16500000</v>
      </c>
      <c r="J55" s="7"/>
      <c r="AJ55" s="12"/>
    </row>
    <row r="56" spans="1:36" s="21" customFormat="1">
      <c r="A56" s="21">
        <v>20</v>
      </c>
      <c r="B56" s="116" t="s">
        <v>335</v>
      </c>
      <c r="C56" s="116" t="s">
        <v>336</v>
      </c>
      <c r="D56" s="189">
        <v>930</v>
      </c>
      <c r="E56" s="189">
        <v>1</v>
      </c>
      <c r="F56" s="189">
        <v>6</v>
      </c>
      <c r="G56" s="72" t="s">
        <v>92</v>
      </c>
      <c r="H56" s="189">
        <v>450000</v>
      </c>
      <c r="I56" s="189">
        <v>6000000</v>
      </c>
      <c r="J56" s="72"/>
      <c r="K56" s="116"/>
      <c r="L56" s="116"/>
      <c r="M56" s="116"/>
      <c r="N56" s="116"/>
      <c r="O56" s="116"/>
      <c r="P56" s="116"/>
      <c r="Q56" s="116"/>
      <c r="R56" s="116"/>
      <c r="S56" s="116"/>
      <c r="T56" s="116"/>
      <c r="U56" s="116"/>
      <c r="V56" s="116"/>
      <c r="W56" s="116"/>
      <c r="X56" s="116"/>
      <c r="Y56" s="116"/>
      <c r="Z56" s="116"/>
      <c r="AA56" s="116"/>
      <c r="AB56" s="116"/>
      <c r="AC56" s="116"/>
      <c r="AD56" s="116"/>
      <c r="AE56" s="116"/>
      <c r="AF56" s="116"/>
      <c r="AG56" s="116"/>
      <c r="AH56" s="116"/>
      <c r="AI56" s="116"/>
      <c r="AJ56" s="116"/>
    </row>
    <row r="57" spans="1:36" s="21" customFormat="1">
      <c r="A57" s="21">
        <v>9</v>
      </c>
      <c r="B57" s="116" t="s">
        <v>337</v>
      </c>
      <c r="C57" s="116" t="s">
        <v>333</v>
      </c>
      <c r="D57" s="189">
        <v>465</v>
      </c>
      <c r="E57" s="189">
        <v>2</v>
      </c>
      <c r="F57" s="189">
        <v>4</v>
      </c>
      <c r="G57" s="72" t="s">
        <v>98</v>
      </c>
      <c r="H57" s="189">
        <f>I57</f>
        <v>16500000</v>
      </c>
      <c r="I57" s="189">
        <f>AVERAGE(3000000,30000000)</f>
        <v>16500000</v>
      </c>
      <c r="J57" s="72"/>
      <c r="K57" s="116"/>
      <c r="L57" s="116"/>
      <c r="M57" s="116"/>
      <c r="N57" s="116"/>
      <c r="O57" s="116"/>
      <c r="P57" s="116"/>
      <c r="Q57" s="116"/>
      <c r="R57" s="116"/>
      <c r="S57" s="116"/>
      <c r="T57" s="116"/>
      <c r="U57" s="116"/>
      <c r="V57" s="116"/>
      <c r="W57" s="116"/>
      <c r="X57" s="116"/>
      <c r="Y57" s="116"/>
      <c r="Z57" s="116"/>
      <c r="AA57" s="116"/>
      <c r="AB57" s="116"/>
      <c r="AC57" s="116"/>
      <c r="AD57" s="116"/>
      <c r="AE57" s="116"/>
      <c r="AF57" s="116"/>
      <c r="AG57" s="116"/>
      <c r="AH57" s="116"/>
      <c r="AI57" s="116"/>
      <c r="AJ57" s="116"/>
    </row>
    <row r="58" spans="1:36" s="21" customFormat="1">
      <c r="A58" s="21">
        <v>10</v>
      </c>
      <c r="B58" s="116" t="s">
        <v>338</v>
      </c>
      <c r="C58" s="116" t="s">
        <v>333</v>
      </c>
      <c r="D58" s="189">
        <v>465</v>
      </c>
      <c r="E58" s="189">
        <v>2</v>
      </c>
      <c r="F58" s="189">
        <v>4</v>
      </c>
      <c r="G58" s="72" t="s">
        <v>98</v>
      </c>
      <c r="H58" s="189">
        <f>I58</f>
        <v>16500000</v>
      </c>
      <c r="I58" s="189">
        <f>AVERAGE(3000000,30000000)</f>
        <v>16500000</v>
      </c>
      <c r="J58" s="72"/>
      <c r="K58" s="116"/>
      <c r="L58" s="116"/>
      <c r="M58" s="116"/>
      <c r="N58" s="116"/>
      <c r="O58" s="116"/>
      <c r="P58" s="116"/>
      <c r="Q58" s="116"/>
      <c r="R58" s="116"/>
      <c r="S58" s="116"/>
      <c r="T58" s="116"/>
      <c r="U58" s="116"/>
      <c r="V58" s="116"/>
      <c r="W58" s="116"/>
      <c r="X58" s="116"/>
      <c r="Y58" s="116"/>
      <c r="Z58" s="116"/>
      <c r="AA58" s="116"/>
      <c r="AB58" s="116"/>
      <c r="AC58" s="116"/>
      <c r="AD58" s="116"/>
      <c r="AE58" s="116"/>
      <c r="AF58" s="116"/>
      <c r="AG58" s="116"/>
      <c r="AH58" s="116"/>
      <c r="AI58" s="116"/>
      <c r="AJ58" s="116"/>
    </row>
    <row r="59" spans="1:36" s="21" customFormat="1">
      <c r="A59" s="21">
        <v>11</v>
      </c>
      <c r="B59" s="116" t="s">
        <v>339</v>
      </c>
      <c r="C59" s="116" t="s">
        <v>336</v>
      </c>
      <c r="D59" s="189">
        <v>465</v>
      </c>
      <c r="E59" s="189">
        <v>2</v>
      </c>
      <c r="F59" s="189">
        <v>4</v>
      </c>
      <c r="G59" s="72" t="s">
        <v>92</v>
      </c>
      <c r="H59" s="189">
        <f>AVERAGE(300000,1500000)</f>
        <v>900000</v>
      </c>
      <c r="I59" s="189">
        <f>AVERAGE(2000000,10000000)</f>
        <v>6000000</v>
      </c>
      <c r="J59" s="72"/>
      <c r="K59" s="116"/>
      <c r="L59" s="116"/>
      <c r="M59" s="116"/>
      <c r="N59" s="116"/>
      <c r="O59" s="116"/>
      <c r="P59" s="116"/>
      <c r="Q59" s="116"/>
      <c r="R59" s="116"/>
      <c r="S59" s="116"/>
      <c r="T59" s="116"/>
      <c r="U59" s="116"/>
      <c r="V59" s="116"/>
      <c r="W59" s="116"/>
      <c r="X59" s="116"/>
      <c r="Y59" s="116"/>
      <c r="Z59" s="116"/>
      <c r="AA59" s="116"/>
      <c r="AB59" s="116"/>
      <c r="AC59" s="116"/>
      <c r="AD59" s="116"/>
      <c r="AE59" s="116"/>
      <c r="AF59" s="116"/>
      <c r="AG59" s="116"/>
      <c r="AH59" s="116"/>
      <c r="AI59" s="116"/>
      <c r="AJ59" s="116"/>
    </row>
    <row r="60" spans="1:36" s="21" customFormat="1">
      <c r="A60" s="21">
        <v>7</v>
      </c>
      <c r="B60" s="116" t="s">
        <v>340</v>
      </c>
      <c r="C60" s="116" t="s">
        <v>336</v>
      </c>
      <c r="D60" s="189">
        <v>465</v>
      </c>
      <c r="E60" s="189">
        <v>1</v>
      </c>
      <c r="F60" s="189">
        <v>5</v>
      </c>
      <c r="G60" s="72" t="s">
        <v>92</v>
      </c>
      <c r="H60" s="189">
        <f>AVERAGE(500000,700000)</f>
        <v>600000</v>
      </c>
      <c r="I60" s="189">
        <f>AVERAGE(2000000,10000000)</f>
        <v>6000000</v>
      </c>
      <c r="J60" s="72"/>
      <c r="K60" s="116"/>
      <c r="L60" s="116"/>
      <c r="M60" s="116"/>
      <c r="N60" s="116"/>
      <c r="O60" s="116"/>
      <c r="P60" s="116"/>
      <c r="Q60" s="116"/>
      <c r="R60" s="116"/>
      <c r="S60" s="116"/>
      <c r="T60" s="116"/>
      <c r="U60" s="116"/>
      <c r="V60" s="116"/>
      <c r="W60" s="116"/>
      <c r="X60" s="116"/>
      <c r="Y60" s="116"/>
      <c r="Z60" s="116"/>
      <c r="AA60" s="116"/>
      <c r="AB60" s="116"/>
      <c r="AC60" s="116"/>
      <c r="AD60" s="116"/>
      <c r="AE60" s="116"/>
      <c r="AF60" s="116"/>
      <c r="AG60" s="116"/>
      <c r="AH60" s="116"/>
      <c r="AI60" s="116"/>
      <c r="AJ60" s="116"/>
    </row>
    <row r="61" spans="1:36" s="21" customFormat="1">
      <c r="A61" s="21">
        <v>6</v>
      </c>
      <c r="B61" s="116" t="s">
        <v>341</v>
      </c>
      <c r="C61" s="116" t="s">
        <v>336</v>
      </c>
      <c r="D61" s="189">
        <v>465</v>
      </c>
      <c r="E61" s="189">
        <v>2</v>
      </c>
      <c r="F61" s="189">
        <v>4</v>
      </c>
      <c r="G61" s="72" t="s">
        <v>98</v>
      </c>
      <c r="H61" s="189">
        <f>AVERAGE(300000,750000)</f>
        <v>525000</v>
      </c>
      <c r="I61" s="189">
        <f>AVERAGE(2000000,20000000)</f>
        <v>11000000</v>
      </c>
      <c r="J61" s="72"/>
      <c r="K61" s="116"/>
      <c r="L61" s="116"/>
      <c r="M61" s="116"/>
      <c r="N61" s="116"/>
      <c r="O61" s="116"/>
      <c r="P61" s="116"/>
      <c r="Q61" s="116"/>
      <c r="R61" s="116"/>
      <c r="S61" s="116"/>
      <c r="T61" s="116"/>
      <c r="U61" s="116"/>
      <c r="V61" s="116"/>
      <c r="W61" s="116"/>
      <c r="X61" s="116"/>
      <c r="Y61" s="116"/>
      <c r="Z61" s="116"/>
      <c r="AA61" s="116"/>
      <c r="AB61" s="116"/>
      <c r="AC61" s="116"/>
      <c r="AD61" s="116"/>
      <c r="AE61" s="116"/>
      <c r="AF61" s="116"/>
      <c r="AG61" s="116"/>
      <c r="AH61" s="116"/>
      <c r="AI61" s="116"/>
      <c r="AJ61" s="116"/>
    </row>
    <row r="62" spans="1:36" s="21" customFormat="1">
      <c r="A62" s="21">
        <v>12</v>
      </c>
      <c r="B62" s="116" t="s">
        <v>342</v>
      </c>
      <c r="C62" s="116" t="s">
        <v>336</v>
      </c>
      <c r="D62" s="189">
        <v>465</v>
      </c>
      <c r="E62" s="189">
        <v>2</v>
      </c>
      <c r="F62" s="189">
        <v>4</v>
      </c>
      <c r="G62" s="72" t="s">
        <v>98</v>
      </c>
      <c r="H62" s="189">
        <f>AVERAGE(120000,450000)</f>
        <v>285000</v>
      </c>
      <c r="I62" s="189">
        <f>AVERAGE(500000,3000000)</f>
        <v>1750000</v>
      </c>
      <c r="J62" s="72"/>
      <c r="K62" s="116"/>
      <c r="L62" s="116"/>
      <c r="M62" s="116"/>
      <c r="N62" s="116"/>
      <c r="O62" s="116"/>
      <c r="P62" s="116"/>
      <c r="Q62" s="116"/>
      <c r="R62" s="116"/>
      <c r="S62" s="116"/>
      <c r="T62" s="116"/>
      <c r="U62" s="116"/>
      <c r="V62" s="116"/>
      <c r="W62" s="116"/>
      <c r="X62" s="116"/>
      <c r="Y62" s="116"/>
      <c r="Z62" s="116"/>
      <c r="AA62" s="116"/>
      <c r="AB62" s="116"/>
      <c r="AC62" s="116"/>
      <c r="AD62" s="116"/>
      <c r="AE62" s="116"/>
      <c r="AF62" s="116"/>
      <c r="AG62" s="116"/>
      <c r="AH62" s="116"/>
      <c r="AI62" s="116"/>
      <c r="AJ62" s="116"/>
    </row>
    <row r="63" spans="1:36" s="21" customFormat="1">
      <c r="A63" s="21">
        <v>18</v>
      </c>
      <c r="B63" s="116" t="s">
        <v>343</v>
      </c>
      <c r="C63" s="116" t="s">
        <v>336</v>
      </c>
      <c r="D63" s="189">
        <v>465</v>
      </c>
      <c r="E63" s="189">
        <v>2</v>
      </c>
      <c r="F63" s="189">
        <v>4</v>
      </c>
      <c r="G63" s="72" t="s">
        <v>98</v>
      </c>
      <c r="H63" s="189">
        <v>200000</v>
      </c>
      <c r="I63" s="189">
        <v>11000000</v>
      </c>
      <c r="J63" s="72"/>
      <c r="K63" s="116"/>
      <c r="L63" s="116"/>
      <c r="M63" s="116"/>
      <c r="N63" s="116"/>
      <c r="O63" s="116"/>
      <c r="P63" s="116"/>
      <c r="Q63" s="116"/>
      <c r="R63" s="116"/>
      <c r="S63" s="116"/>
      <c r="T63" s="116"/>
      <c r="U63" s="116"/>
      <c r="V63" s="116"/>
      <c r="W63" s="116"/>
      <c r="X63" s="116"/>
      <c r="Y63" s="116"/>
      <c r="Z63" s="116"/>
      <c r="AA63" s="116"/>
      <c r="AB63" s="116"/>
      <c r="AC63" s="116"/>
      <c r="AD63" s="116"/>
      <c r="AE63" s="116"/>
      <c r="AF63" s="116"/>
      <c r="AG63" s="116"/>
      <c r="AH63" s="116"/>
      <c r="AI63" s="116"/>
      <c r="AJ63" s="116"/>
    </row>
    <row r="64" spans="1:36" s="21" customFormat="1">
      <c r="A64" s="21">
        <v>19</v>
      </c>
      <c r="B64" s="116" t="s">
        <v>344</v>
      </c>
      <c r="C64" s="116" t="s">
        <v>336</v>
      </c>
      <c r="D64" s="189">
        <v>930</v>
      </c>
      <c r="E64" s="189">
        <v>1</v>
      </c>
      <c r="F64" s="189">
        <v>6</v>
      </c>
      <c r="G64" s="72" t="s">
        <v>92</v>
      </c>
      <c r="H64" s="189">
        <v>400000</v>
      </c>
      <c r="I64" s="189">
        <v>1850000</v>
      </c>
      <c r="J64" s="72"/>
      <c r="K64" s="116"/>
      <c r="L64" s="116"/>
      <c r="M64" s="116"/>
      <c r="N64" s="116"/>
      <c r="O64" s="116"/>
      <c r="P64" s="116"/>
      <c r="Q64" s="116"/>
      <c r="R64" s="116"/>
      <c r="S64" s="116"/>
      <c r="T64" s="116"/>
      <c r="U64" s="116"/>
      <c r="V64" s="116"/>
      <c r="W64" s="116"/>
      <c r="X64" s="116"/>
      <c r="Y64" s="116"/>
      <c r="Z64" s="116"/>
      <c r="AA64" s="116"/>
      <c r="AB64" s="116"/>
      <c r="AC64" s="116"/>
      <c r="AD64" s="116"/>
      <c r="AE64" s="116"/>
      <c r="AF64" s="116"/>
      <c r="AG64" s="116"/>
      <c r="AH64" s="116"/>
      <c r="AI64" s="116"/>
      <c r="AJ64" s="116"/>
    </row>
    <row r="65" spans="1:36">
      <c r="A65">
        <v>13</v>
      </c>
      <c r="B65" s="12" t="s">
        <v>345</v>
      </c>
      <c r="C65" s="12" t="s">
        <v>336</v>
      </c>
      <c r="D65" s="89">
        <v>465</v>
      </c>
      <c r="E65" s="89">
        <v>2</v>
      </c>
      <c r="F65" s="89">
        <v>4</v>
      </c>
      <c r="G65" s="7" t="s">
        <v>92</v>
      </c>
      <c r="H65" s="89">
        <f>AVERAGE(300000,750000)</f>
        <v>525000</v>
      </c>
      <c r="I65" s="89">
        <f>AVERAGE(750000,10000000)</f>
        <v>5375000</v>
      </c>
      <c r="J65" s="7"/>
      <c r="AJ65" s="12"/>
    </row>
    <row r="66" spans="1:36">
      <c r="A66">
        <v>5</v>
      </c>
      <c r="B66" s="12" t="s">
        <v>346</v>
      </c>
      <c r="C66" s="12" t="s">
        <v>336</v>
      </c>
      <c r="D66" s="89">
        <v>465</v>
      </c>
      <c r="E66" s="89">
        <v>2</v>
      </c>
      <c r="F66" s="89">
        <v>4</v>
      </c>
      <c r="G66" s="7" t="s">
        <v>92</v>
      </c>
      <c r="H66" s="89">
        <f>AVERAGE(200000,500000)</f>
        <v>350000</v>
      </c>
      <c r="I66" s="89">
        <f>AVERAGE(700000,3000000)</f>
        <v>1850000</v>
      </c>
      <c r="J66" s="7"/>
      <c r="AJ66" s="12"/>
    </row>
    <row r="67" spans="1:36">
      <c r="A67">
        <v>14</v>
      </c>
      <c r="B67" s="12" t="s">
        <v>347</v>
      </c>
      <c r="C67" s="12" t="s">
        <v>336</v>
      </c>
      <c r="D67" s="89">
        <v>930</v>
      </c>
      <c r="E67" s="89">
        <v>1</v>
      </c>
      <c r="F67" s="89">
        <v>6</v>
      </c>
      <c r="G67" s="7" t="s">
        <v>92</v>
      </c>
      <c r="H67" s="89">
        <f>AVERAGE(200000,500000)</f>
        <v>350000</v>
      </c>
      <c r="I67" s="89">
        <f>AVERAGE(700000,3000000)</f>
        <v>1850000</v>
      </c>
      <c r="J67" s="7"/>
      <c r="AJ67" s="12"/>
    </row>
    <row r="68" spans="1:36">
      <c r="A68">
        <v>15</v>
      </c>
      <c r="B68" s="12" t="s">
        <v>348</v>
      </c>
      <c r="C68" s="12" t="s">
        <v>336</v>
      </c>
      <c r="D68" s="89">
        <v>930</v>
      </c>
      <c r="E68" s="89">
        <v>1</v>
      </c>
      <c r="F68" s="89">
        <v>6</v>
      </c>
      <c r="G68" s="7" t="s">
        <v>98</v>
      </c>
      <c r="H68" s="89">
        <f>AVERAGE(150000,400000)</f>
        <v>275000</v>
      </c>
      <c r="I68" s="89">
        <f>AVERAGE(500000,2000000)</f>
        <v>1250000</v>
      </c>
      <c r="J68" s="7"/>
      <c r="AJ68" s="12"/>
    </row>
    <row r="69" spans="1:36">
      <c r="A69">
        <v>16</v>
      </c>
      <c r="B69" s="12" t="s">
        <v>349</v>
      </c>
      <c r="C69" s="12" t="s">
        <v>336</v>
      </c>
      <c r="D69" s="89">
        <v>465</v>
      </c>
      <c r="E69" s="89">
        <v>2</v>
      </c>
      <c r="F69" s="89">
        <v>4</v>
      </c>
      <c r="G69" s="7" t="s">
        <v>98</v>
      </c>
      <c r="H69" s="89">
        <f>AVERAGE(300000,750000)</f>
        <v>525000</v>
      </c>
      <c r="I69" s="89">
        <f>AVERAGE(2000000,20000000)</f>
        <v>11000000</v>
      </c>
      <c r="J69" s="7"/>
      <c r="AJ69" s="12"/>
    </row>
    <row r="70" spans="1:36">
      <c r="A70">
        <v>4</v>
      </c>
      <c r="B70" s="12" t="s">
        <v>350</v>
      </c>
      <c r="C70" s="12" t="s">
        <v>336</v>
      </c>
      <c r="D70" s="89">
        <v>465</v>
      </c>
      <c r="E70" s="89">
        <v>2</v>
      </c>
      <c r="F70" s="89">
        <v>4</v>
      </c>
      <c r="G70" s="7" t="s">
        <v>98</v>
      </c>
      <c r="H70" s="89">
        <f>AVERAGE(300000,750000)</f>
        <v>525000</v>
      </c>
      <c r="I70" s="89">
        <f>AVERAGE(2000000,20000000)</f>
        <v>11000000</v>
      </c>
      <c r="J70" s="7"/>
      <c r="AJ70" s="12"/>
    </row>
    <row r="71" spans="1:36">
      <c r="A71">
        <v>2</v>
      </c>
      <c r="B71" s="12" t="s">
        <v>351</v>
      </c>
      <c r="C71" s="12" t="s">
        <v>333</v>
      </c>
      <c r="D71" s="89">
        <v>465</v>
      </c>
      <c r="E71" s="89">
        <v>2</v>
      </c>
      <c r="F71" s="89">
        <v>4</v>
      </c>
      <c r="G71" s="7" t="s">
        <v>98</v>
      </c>
      <c r="H71" s="89">
        <f>I71</f>
        <v>16500000</v>
      </c>
      <c r="I71" s="89">
        <f>AVERAGE(3000000,30000000)</f>
        <v>16500000</v>
      </c>
      <c r="J71" s="7"/>
      <c r="AJ71" s="12"/>
    </row>
    <row r="72" spans="1:36">
      <c r="B72" s="12"/>
      <c r="AJ72" s="12"/>
    </row>
    <row r="73" spans="1:36">
      <c r="B73" s="12"/>
      <c r="AJ73" s="12"/>
    </row>
    <row r="74" spans="1:36">
      <c r="A74" s="3" t="s">
        <v>352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  <c r="AC74" s="9"/>
      <c r="AD74" s="9"/>
      <c r="AE74" s="9"/>
      <c r="AF74" s="9"/>
      <c r="AG74" s="9"/>
      <c r="AH74" s="9"/>
      <c r="AI74" s="9"/>
    </row>
    <row r="76" spans="1:36">
      <c r="A76" s="5" t="s">
        <v>353</v>
      </c>
      <c r="B76" s="11" t="s">
        <v>354</v>
      </c>
      <c r="C76" s="11" t="s">
        <v>180</v>
      </c>
      <c r="D76" s="11" t="s">
        <v>355</v>
      </c>
      <c r="E76" s="11" t="s">
        <v>80</v>
      </c>
      <c r="F76" s="11" t="s">
        <v>356</v>
      </c>
      <c r="G76" s="11" t="s">
        <v>357</v>
      </c>
      <c r="H76" s="11" t="s">
        <v>358</v>
      </c>
      <c r="I76" s="11" t="s">
        <v>239</v>
      </c>
      <c r="J76" s="11" t="s">
        <v>359</v>
      </c>
      <c r="K76" s="11" t="s">
        <v>192</v>
      </c>
      <c r="AJ76" s="12"/>
    </row>
    <row r="77" spans="1:36">
      <c r="A77" t="s">
        <v>98</v>
      </c>
      <c r="B77" s="176">
        <v>0</v>
      </c>
      <c r="C77" s="12" t="s">
        <v>360</v>
      </c>
      <c r="E77" s="12" t="s">
        <v>92</v>
      </c>
      <c r="F77" s="12" t="s">
        <v>92</v>
      </c>
      <c r="G77" s="12" t="s">
        <v>119</v>
      </c>
      <c r="H77" s="12" t="s">
        <v>137</v>
      </c>
      <c r="I77" s="12" t="s">
        <v>361</v>
      </c>
      <c r="J77" s="136" t="s">
        <v>90</v>
      </c>
      <c r="K77" s="12" t="s">
        <v>92</v>
      </c>
      <c r="AJ77" s="12"/>
    </row>
    <row r="78" spans="1:36">
      <c r="A78" t="s">
        <v>92</v>
      </c>
      <c r="B78" s="176">
        <v>5</v>
      </c>
      <c r="C78" s="134" t="s">
        <v>362</v>
      </c>
      <c r="D78" s="133"/>
      <c r="E78" s="12" t="s">
        <v>91</v>
      </c>
      <c r="F78" s="12" t="s">
        <v>99</v>
      </c>
      <c r="G78" s="12" t="s">
        <v>117</v>
      </c>
      <c r="H78" s="12" t="s">
        <v>326</v>
      </c>
      <c r="I78" s="12" t="s">
        <v>363</v>
      </c>
      <c r="J78" s="70" t="s">
        <v>364</v>
      </c>
      <c r="K78" s="12" t="s">
        <v>92</v>
      </c>
      <c r="AJ78" s="12"/>
    </row>
    <row r="79" spans="1:36">
      <c r="B79" s="176">
        <v>10</v>
      </c>
      <c r="C79" s="12" t="s">
        <v>167</v>
      </c>
      <c r="D79" s="12">
        <v>1</v>
      </c>
      <c r="E79" s="12" t="s">
        <v>365</v>
      </c>
      <c r="F79" s="12" t="s">
        <v>366</v>
      </c>
      <c r="G79" s="12" t="s">
        <v>367</v>
      </c>
      <c r="I79" s="12" t="s">
        <v>180</v>
      </c>
      <c r="J79" s="70" t="s">
        <v>102</v>
      </c>
      <c r="K79" s="12" t="s">
        <v>92</v>
      </c>
      <c r="AJ79" s="12"/>
    </row>
    <row r="80" spans="1:36">
      <c r="B80" s="176">
        <v>20</v>
      </c>
      <c r="C80" s="12" t="s">
        <v>166</v>
      </c>
      <c r="D80" s="12">
        <f>D79+1</f>
        <v>2</v>
      </c>
      <c r="E80" s="12" t="s">
        <v>97</v>
      </c>
      <c r="F80" s="12" t="s">
        <v>93</v>
      </c>
      <c r="J80" s="70" t="s">
        <v>96</v>
      </c>
      <c r="K80" s="12" t="s">
        <v>98</v>
      </c>
      <c r="AJ80" s="12"/>
    </row>
    <row r="81" spans="1:36">
      <c r="B81" s="176">
        <v>30</v>
      </c>
      <c r="C81" s="12" t="s">
        <v>165</v>
      </c>
      <c r="D81" s="12">
        <f>D80+1</f>
        <v>3</v>
      </c>
      <c r="J81" s="70" t="s">
        <v>368</v>
      </c>
      <c r="K81" s="12" t="s">
        <v>98</v>
      </c>
    </row>
    <row r="82" spans="1:36">
      <c r="B82" s="176">
        <v>40</v>
      </c>
      <c r="C82" s="12" t="s">
        <v>164</v>
      </c>
      <c r="D82" s="12">
        <f>D81+1</f>
        <v>4</v>
      </c>
      <c r="J82" s="70"/>
    </row>
    <row r="83" spans="1:36">
      <c r="B83" s="176">
        <v>50</v>
      </c>
      <c r="C83" s="12" t="s">
        <v>163</v>
      </c>
      <c r="D83" s="12">
        <f>D82+1</f>
        <v>5</v>
      </c>
    </row>
    <row r="84" spans="1:36">
      <c r="B84" s="176">
        <v>60</v>
      </c>
      <c r="C84" s="12" t="s">
        <v>162</v>
      </c>
      <c r="D84" s="12">
        <f>D83+1</f>
        <v>6</v>
      </c>
    </row>
    <row r="85" spans="1:36">
      <c r="B85" s="176">
        <v>70</v>
      </c>
      <c r="C85" s="12" t="s">
        <v>369</v>
      </c>
      <c r="D85" s="12">
        <f>D84+1</f>
        <v>7</v>
      </c>
    </row>
    <row r="86" spans="1:36">
      <c r="B86" s="176">
        <v>80</v>
      </c>
      <c r="C86" s="12" t="s">
        <v>100</v>
      </c>
      <c r="D86" s="12">
        <f>D85+1</f>
        <v>8</v>
      </c>
    </row>
    <row r="87" spans="1:36">
      <c r="B87" s="176">
        <v>89.99999999999999</v>
      </c>
      <c r="C87" s="12" t="s">
        <v>370</v>
      </c>
      <c r="D87" s="12">
        <f>D86+1</f>
        <v>9</v>
      </c>
    </row>
    <row r="88" spans="1:36">
      <c r="B88" s="176">
        <v>99.99999999999999</v>
      </c>
      <c r="C88" s="12" t="s">
        <v>371</v>
      </c>
      <c r="D88" s="12">
        <f>D87+1</f>
        <v>10</v>
      </c>
    </row>
    <row r="89" spans="1:36">
      <c r="C89" s="12" t="s">
        <v>94</v>
      </c>
      <c r="D89" s="12">
        <f>D88+1</f>
        <v>11</v>
      </c>
    </row>
    <row r="90" spans="1:36">
      <c r="C90" s="12" t="s">
        <v>372</v>
      </c>
      <c r="D90" s="12">
        <f>D89+1</f>
        <v>12</v>
      </c>
    </row>
    <row r="93" spans="1:36">
      <c r="A93" s="3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  <c r="AC93" s="9"/>
      <c r="AD93" s="9"/>
      <c r="AE93" s="9"/>
      <c r="AF93" s="9"/>
      <c r="AG93" s="9"/>
      <c r="AH93" s="9"/>
      <c r="AI93" s="9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40:C40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legacyDrawing r:id="rId_comments_vml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Financial summary</vt:lpstr>
      <vt:lpstr>Output</vt:lpstr>
      <vt:lpstr>Inputs</vt:lpstr>
      <vt:lpstr>Calculations</vt:lpstr>
      <vt:lpstr>Parameters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Grameen Kenya</dc:creator>
  <cp:lastModifiedBy>DeProgrammer</cp:lastModifiedBy>
  <dcterms:created xsi:type="dcterms:W3CDTF">2016-05-03T10:55:57+00:00</dcterms:created>
  <dcterms:modified xsi:type="dcterms:W3CDTF">2017-01-18T10:07:02+00:00</dcterms:modified>
  <dc:title/>
  <dc:description/>
  <dc:subject/>
  <cp:keywords/>
  <cp:category/>
</cp:coreProperties>
</file>