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<sst xmlns="http://schemas.openxmlformats.org/spreadsheetml/2006/main" uniqueCount="368">
  <si>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</si>
  <si>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</si>
  <si>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</si>
  <si>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</si>
  <si>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</si>
  <si>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</si>
  <si>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</si>
  <si>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</si>
  <si>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</si>
  <si>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</si>
  <si>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</si>
  <si>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</si>
  <si>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</si>
  <si>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</si>
  <si>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</si>
  <si>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</si>
  <si>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</si>
  <si>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</si>
  <si>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</si>
  <si>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</si>
  <si>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</si>
  <si>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</si>
  <si>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</si>
  <si>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</si>
  <si>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</si>
  <si>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</si>
  <si>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</si>
  <si>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</si>
  <si>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</si>
  <si>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</si>
  <si>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</si>
  <si>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</si>
  <si>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</si>
  <si>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</si>
  <si>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</si>
  <si>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</si>
  <si>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</si>
  <si>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</si>
  <si>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</si>
  <si>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</si>
  <si>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</si>
  <si>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</si>
  <si>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</si>
  <si>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</si>
  <si>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</si>
  <si>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</si>
  <si>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</si>
  <si>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</si>
  <si>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</si>
  <si>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</si>
  <si>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</si>
  <si>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</si>
  <si>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</si>
  <si>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</si>
  <si>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</si>
  <si>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</si>
  <si>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</si>
  <si>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</si>
  <si>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</si>
  <si>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</si>
  <si>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</si>
  <si>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</si>
  <si>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</si>
  <si>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</si>
  <si>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</si>
  <si>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</si>
  <si>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</si>
  <si>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</si>
  <si>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</si>
  <si>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</si>
  <si>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</si>
  <si>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</si>
  <si>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</si>
  <si>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</si>
  <si>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</si>
  <si>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</si>
  <si>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</si>
  <si>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</si>
  <si>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</si>
  <si>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</si>
  <si>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</si>
  <si>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</si>
  <si>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</si>
  <si>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</si>
  <si>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</si>
  <si>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</si>
  <si>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</si>
  <si>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</si>
  <si>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</si>
  <si>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</si>
  <si>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Shop_common variety</t>
  </si>
  <si>
    <t>Yes both manure and inorganic</t>
  </si>
  <si>
    <t>Yes</t>
  </si>
  <si>
    <t>Yes using a diesel pump</t>
  </si>
  <si>
    <t>August</t>
  </si>
  <si>
    <t>Shop_certified variety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</si>
  <si>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</si>
  <si>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</si>
  <si>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</si>
  <si>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</si>
  <si>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</si>
  <si>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</si>
  <si>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</si>
  <si>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</si>
  <si>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</si>
  <si>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</si>
  <si>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</si>
  <si>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</si>
  <si>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</si>
  <si>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</si>
  <si>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</si>
  <si>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</si>
  <si>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</si>
  <si>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</si>
  <si>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</si>
  <si>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</si>
  <si>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</si>
  <si>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</si>
  <si>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</si>
  <si>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</si>
  <si>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</si>
  <si>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</si>
  <si>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</si>
  <si>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</si>
  <si>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</si>
  <si>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</si>
  <si>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</si>
  <si>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</si>
  <si>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No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</si>
  <si>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</si>
  <si>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</si>
  <si>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</si>
  <si>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</si>
  <si>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</si>
  <si>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</si>
  <si>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</si>
  <si>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</si>
  <si>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</si>
  <si>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</si>
  <si>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</si>
  <si>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</si>
  <si>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</si>
  <si>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12/8/16</t>
  </si>
  <si>
    <t>Musoni</t>
  </si>
  <si>
    <t>77%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</si>
  <si>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</si>
  <si>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</si>
  <si>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</si>
  <si>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</si>
  <si>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</si>
  <si>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</si>
  <si>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</si>
  <si>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</si>
  <si>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</si>
  <si>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</si>
  <si>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</si>
  <si>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</si>
  <si>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2017/7/4</t>
  </si>
  <si>
    <t>Loan terms</t>
  </si>
  <si>
    <t>Expected disbursement date</t>
  </si>
  <si>
    <t>2017/7/7</t>
  </si>
  <si>
    <t>Expected first repayment date</t>
  </si>
  <si>
    <t>2017/8/14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</si>
  <si>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</si>
  <si>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</si>
  <si>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</si>
  <si>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</si>
  <si>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</si>
  <si>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</si>
  <si>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</si>
  <si>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</si>
  <si>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</si>
  <si>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</si>
  <si>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</si>
  <si>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</si>
  <si>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</si>
  <si>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</si>
  <si>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</si>
  <si>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</si>
  <si>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</si>
  <si>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</si>
  <si>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</si>
  <si>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</si>
  <si>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</si>
  <si>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</si>
  <si>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</si>
  <si>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</si>
  <si>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</si>
  <si>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</si>
  <si>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</si>
  <si>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</si>
  <si>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</si>
  <si>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</si>
  <si>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</si>
  <si>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</si>
  <si>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</si>
  <si>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</si>
  <si>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</si>
  <si>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</si>
  <si>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</si>
  <si>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</si>
  <si>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</si>
  <si>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</si>
  <si>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</si>
  <si>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</si>
  <si>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</si>
  <si>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</si>
  <si>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</si>
  <si>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</si>
  <si>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</si>
  <si>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</si>
  <si>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</si>
  <si>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</si>
  <si>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</si>
  <si>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</si>
  <si>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</si>
  <si>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</si>
  <si>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</si>
  <si>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</si>
  <si>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</si>
  <si>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</si>
  <si>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</si>
  <si>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</si>
  <si>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</si>
  <si>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</si>
  <si>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</si>
  <si>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</si>
  <si>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</si>
  <si>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</si>
  <si>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</si>
  <si>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</si>
  <si>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</si>
  <si>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</si>
  <si>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</si>
  <si>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</si>
  <si>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</si>
  <si>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</si>
  <si>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</si>
  <si>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</si>
  <si>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</si>
  <si>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</si>
  <si>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</si>
  <si>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</si>
  <si>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</si>
  <si>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</si>
  <si>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</si>
  <si>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</si>
  <si>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</si>
  <si>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</si>
  <si>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</si>
  <si>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</si>
  <si>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</si>
  <si>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</si>
  <si>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</si>
  <si>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</si>
  <si>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</si>
  <si>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</si>
  <si>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</si>
  <si>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</si>
  <si>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</si>
  <si>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</si>
  <si>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</si>
  <si>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</si>
  <si>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</si>
  <si>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</si>
  <si>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</si>
  <si>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</si>
  <si>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</si>
  <si>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</si>
  <si>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</si>
  <si>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</si>
  <si>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</si>
  <si>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</si>
  <si>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</si>
  <si>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</si>
  <si>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</si>
  <si>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</si>
  <si>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</si>
  <si>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</si>
  <si>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</si>
  <si>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</si>
  <si>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</si>
  <si>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</si>
  <si>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</si>
  <si>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</si>
  <si>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</si>
  <si>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</si>
  <si>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</si>
  <si>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</si>
  <si>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</si>
  <si>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</si>
  <si>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</si>
  <si>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</si>
  <si>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</si>
  <si>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</si>
  <si>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</si>
  <si>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</si>
  <si>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</si>
  <si>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</si>
  <si>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</si>
  <si>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</si>
  <si>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</si>
  <si>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</si>
  <si>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</si>
  <si>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</si>
  <si>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</si>
  <si>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</si>
  <si>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</si>
  <si>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</si>
  <si>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</si>
  <si>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</si>
  <si>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</si>
  <si>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</si>
  <si>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</si>
  <si>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</si>
  <si>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</si>
  <si>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</si>
  <si>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</si>
  <si>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</si>
  <si>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</si>
  <si>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</si>
  <si>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</si>
  <si>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</si>
  <si>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</si>
  <si>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</si>
  <si>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</si>
  <si>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</si>
  <si>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</si>
  <si>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</si>
  <si>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</si>
  <si>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</si>
  <si>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</si>
  <si>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</si>
  <si>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</si>
  <si>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</si>
  <si>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</si>
  <si>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</si>
  <si>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</si>
  <si>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</si>
  <si>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</si>
  <si>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</si>
  <si>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</si>
  <si>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</si>
  <si>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</si>
  <si>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</si>
  <si>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</si>
  <si>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</si>
  <si>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</si>
  <si>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</si>
  <si>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</si>
  <si>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</si>
  <si>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</si>
  <si>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</si>
  <si>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</si>
  <si>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</si>
  <si>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</si>
  <si>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</si>
  <si>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</si>
  <si>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</si>
  <si>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</si>
  <si>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</si>
  <si>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</si>
  <si>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Yes without the use of a pump</t>
  </si>
  <si>
    <t>NGO</t>
  </si>
  <si>
    <t>July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</si>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</sst>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1.110966279466446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0.2765554246351853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3050000</v>
      </c>
    </row>
    <row r="17" spans="1:7">
      <c r="B17" s="1" t="s">
        <v>11</v>
      </c>
      <c r="C17" s="36">
        <f>SUM(Output!B6:M6)</f>
        <v>-39336.25350532809</v>
      </c>
    </row>
    <row r="18" spans="1:7">
      <c r="B18" s="1" t="s">
        <v>12</v>
      </c>
      <c r="C18" s="36">
        <f>MIN(Output!B6:M6)</f>
        <v>-17944.68779211068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-1944.687792110675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95000</v>
      </c>
    </row>
    <row r="25" spans="1:7">
      <c r="B25" s="1" t="s">
        <v>18</v>
      </c>
      <c r="C25" s="36">
        <f>MAX(Inputs!A56:A60)</f>
        <v>95000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-1944.687792110675</v>
      </c>
      <c r="C6" s="51">
        <f>C30-C88</f>
        <v>-17944.68779211068</v>
      </c>
      <c r="D6" s="51">
        <f>D30-D88</f>
        <v>-1944.687792110675</v>
      </c>
      <c r="E6" s="51">
        <f>E30-E88</f>
        <v>-1944.687792110675</v>
      </c>
      <c r="F6" s="51">
        <f>F30-F88</f>
        <v>-1944.687792110675</v>
      </c>
      <c r="G6" s="51">
        <f>G30-G88</f>
        <v>-1944.687792110675</v>
      </c>
      <c r="H6" s="51">
        <f>H30-H88</f>
        <v>-1944.687792110675</v>
      </c>
      <c r="I6" s="51">
        <f>I30-I88</f>
        <v>-1944.687792110675</v>
      </c>
      <c r="J6" s="51">
        <f>J30-J88</f>
        <v>-1944.687792110675</v>
      </c>
      <c r="K6" s="51">
        <f>K30-K88</f>
        <v>-1944.687792110675</v>
      </c>
      <c r="L6" s="51">
        <f>L30-L88</f>
        <v>-1944.687792110675</v>
      </c>
      <c r="M6" s="51">
        <f>M30-M88</f>
        <v>-1944.687792110675</v>
      </c>
      <c r="N6" s="51">
        <f>N30-N88</f>
        <v>-1944.687792110675</v>
      </c>
      <c r="O6" s="51">
        <f>O30-O88</f>
        <v>-17944.68779211068</v>
      </c>
      <c r="P6" s="51">
        <f>P30-P88</f>
        <v>-1944.687792110675</v>
      </c>
      <c r="Q6" s="51">
        <f>Q30-Q88</f>
        <v>-1944.687792110675</v>
      </c>
      <c r="R6" s="51">
        <f>R30-R88</f>
        <v>-1944.687792110675</v>
      </c>
      <c r="S6" s="51">
        <f>S30-S88</f>
        <v>-1944.687792110675</v>
      </c>
      <c r="T6" s="51">
        <f>T30-T88</f>
        <v>-1944.687792110675</v>
      </c>
      <c r="U6" s="51">
        <f>U30-U88</f>
        <v>-1944.687792110675</v>
      </c>
      <c r="V6" s="51">
        <f>V30-V88</f>
        <v>-1944.687792110675</v>
      </c>
      <c r="W6" s="51">
        <f>W30-W88</f>
        <v>-1944.687792110675</v>
      </c>
      <c r="X6" s="51">
        <f>X30-X88</f>
        <v>-1944.687792110675</v>
      </c>
      <c r="Y6" s="51">
        <f>Y30-Y88</f>
        <v>-1944.687792110675</v>
      </c>
      <c r="Z6" s="51">
        <f>SUMIF($B$13:$Y$13,"Yes",B6:Y6)</f>
        <v>-29612.81454477473</v>
      </c>
      <c r="AA6" s="51">
        <f>AA30-AA88</f>
        <v>-39336.25350532809</v>
      </c>
      <c r="AB6" s="51">
        <f>AB30-AB88</f>
        <v>-78672.50701065619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107685</v>
      </c>
      <c r="I7" s="80">
        <f>IF(ISERROR(VLOOKUP(MONTH(I5),Inputs!$D$66:$D$71,1,0)),"",INDEX(Inputs!$B$66:$B$71,MATCH(MONTH(Output!I5),Inputs!$D$66:$D$71,0))-INDEX(Inputs!$C$66:$C$71,MATCH(MONTH(Output!I5),Inputs!$D$66:$D$71,0)))</f>
        <v>102711</v>
      </c>
      <c r="J7" s="80">
        <f>IF(ISERROR(VLOOKUP(MONTH(J5),Inputs!$D$66:$D$71,1,0)),"",INDEX(Inputs!$B$66:$B$71,MATCH(MONTH(Output!J5),Inputs!$D$66:$D$71,0))-INDEX(Inputs!$C$66:$C$71,MATCH(MONTH(Output!J5),Inputs!$D$66:$D$71,0)))</f>
        <v>231618</v>
      </c>
      <c r="K7" s="80">
        <f>IF(ISERROR(VLOOKUP(MONTH(K5),Inputs!$D$66:$D$71,1,0)),"",INDEX(Inputs!$B$66:$B$71,MATCH(MONTH(Output!K5),Inputs!$D$66:$D$71,0))-INDEX(Inputs!$C$66:$C$71,MATCH(MONTH(Output!K5),Inputs!$D$66:$D$71,0)))</f>
        <v>157769</v>
      </c>
      <c r="L7" s="80">
        <f>IF(ISERROR(VLOOKUP(MONTH(L5),Inputs!$D$66:$D$71,1,0)),"",INDEX(Inputs!$B$66:$B$71,MATCH(MONTH(Output!L5),Inputs!$D$66:$D$71,0))-INDEX(Inputs!$C$66:$C$71,MATCH(MONTH(Output!L5),Inputs!$D$66:$D$71,0)))</f>
        <v>168160</v>
      </c>
      <c r="M7" s="80">
        <f>IF(ISERROR(VLOOKUP(MONTH(M5),Inputs!$D$66:$D$71,1,0)),"",INDEX(Inputs!$B$66:$B$71,MATCH(MONTH(Output!M5),Inputs!$D$66:$D$71,0))-INDEX(Inputs!$C$66:$C$71,MATCH(MONTH(Output!M5),Inputs!$D$66:$D$71,0)))</f>
        <v>150851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107685</v>
      </c>
      <c r="U7" s="80">
        <f>IF(ISERROR(VLOOKUP(MONTH(U5),Inputs!$D$66:$D$71,1,0)),"",INDEX(Inputs!$B$66:$B$71,MATCH(MONTH(Output!U5),Inputs!$D$66:$D$71,0))-INDEX(Inputs!$C$66:$C$71,MATCH(MONTH(Output!U5),Inputs!$D$66:$D$71,0)))</f>
        <v>102711</v>
      </c>
      <c r="V7" s="80">
        <f>IF(ISERROR(VLOOKUP(MONTH(V5),Inputs!$D$66:$D$71,1,0)),"",INDEX(Inputs!$B$66:$B$71,MATCH(MONTH(Output!V5),Inputs!$D$66:$D$71,0))-INDEX(Inputs!$C$66:$C$71,MATCH(MONTH(Output!V5),Inputs!$D$66:$D$71,0)))</f>
        <v>231618</v>
      </c>
      <c r="W7" s="80">
        <f>IF(ISERROR(VLOOKUP(MONTH(W5),Inputs!$D$66:$D$71,1,0)),"",INDEX(Inputs!$B$66:$B$71,MATCH(MONTH(Output!W5),Inputs!$D$66:$D$71,0))-INDEX(Inputs!$C$66:$C$71,MATCH(MONTH(Output!W5),Inputs!$D$66:$D$71,0)))</f>
        <v>157769</v>
      </c>
      <c r="X7" s="80">
        <f>IF(ISERROR(VLOOKUP(MONTH(X5),Inputs!$D$66:$D$71,1,0)),"",INDEX(Inputs!$B$66:$B$71,MATCH(MONTH(Output!X5),Inputs!$D$66:$D$71,0))-INDEX(Inputs!$C$66:$C$71,MATCH(MONTH(Output!X5),Inputs!$D$66:$D$71,0)))</f>
        <v>168160</v>
      </c>
      <c r="Y7" s="80">
        <f>IF(ISERROR(VLOOKUP(MONTH(Y5),Inputs!$D$66:$D$71,1,0)),"",INDEX(Inputs!$B$66:$B$71,MATCH(MONTH(Output!Y5),Inputs!$D$66:$D$71,0))-INDEX(Inputs!$C$66:$C$71,MATCH(MONTH(Output!Y5),Inputs!$D$66:$D$71,0)))</f>
        <v>150851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3000000</v>
      </c>
      <c r="AA9" s="75">
        <f>SUM(B9:M9)</f>
        <v>3000000</v>
      </c>
      <c r="AB9" s="75">
        <f>SUM(B9:Y9)</f>
        <v>3000000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50000</v>
      </c>
      <c r="D10" s="37">
        <f>SUMPRODUCT((Calculations!$D$33:$D$84=Output!D5)+0,Calculations!$C$33:$C$84)</f>
        <v>50000</v>
      </c>
      <c r="E10" s="37">
        <f>SUMPRODUCT((Calculations!$D$33:$D$84=Output!E5)+0,Calculations!$C$33:$C$84)</f>
        <v>50000</v>
      </c>
      <c r="F10" s="37">
        <f>SUMPRODUCT((Calculations!$D$33:$D$84=Output!F5)+0,Calculations!$C$33:$C$84)</f>
        <v>50000</v>
      </c>
      <c r="G10" s="37">
        <f>SUMPRODUCT((Calculations!$D$33:$D$84=Output!G5)+0,Calculations!$C$33:$C$84)</f>
        <v>50000</v>
      </c>
      <c r="H10" s="37">
        <f>SUMPRODUCT((Calculations!$D$33:$D$84=Output!H5)+0,Calculations!$C$33:$C$84)</f>
        <v>3050000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3300000</v>
      </c>
      <c r="AA10" s="37">
        <f>SUM(B10:M10)</f>
        <v>3300000</v>
      </c>
      <c r="AB10" s="37">
        <f>SUM(B10:Y10)</f>
        <v>3300000</v>
      </c>
    </row>
    <row r="11" spans="1:30" customHeight="1" ht="15.75">
      <c r="A11" s="43" t="s">
        <v>31</v>
      </c>
      <c r="B11" s="80">
        <f>B6+B9-B10</f>
        <v>2998055.312207889</v>
      </c>
      <c r="C11" s="80">
        <f>C6+C9-C10</f>
        <v>-67944.68779211068</v>
      </c>
      <c r="D11" s="80">
        <f>D6+D9-D10</f>
        <v>-51944.68779211067</v>
      </c>
      <c r="E11" s="80">
        <f>E6+E9-E10</f>
        <v>-51944.68779211067</v>
      </c>
      <c r="F11" s="80">
        <f>F6+F9-F10</f>
        <v>-51944.68779211067</v>
      </c>
      <c r="G11" s="80">
        <f>G6+G9-G10</f>
        <v>-51944.68779211067</v>
      </c>
      <c r="H11" s="80">
        <f>H6+H9-H10</f>
        <v>-3051944.687792111</v>
      </c>
      <c r="I11" s="80">
        <f>I6+I9-I10</f>
        <v>-1944.687792110675</v>
      </c>
      <c r="J11" s="80">
        <f>J6+J9-J10</f>
        <v>-1944.687792110675</v>
      </c>
      <c r="K11" s="80">
        <f>K6+K9-K10</f>
        <v>-1944.687792110675</v>
      </c>
      <c r="L11" s="80">
        <f>L6+L9-L10</f>
        <v>-1944.687792110675</v>
      </c>
      <c r="M11" s="80">
        <f>M6+M9-M10</f>
        <v>-1944.687792110675</v>
      </c>
      <c r="N11" s="80">
        <f>N6+N9-N10</f>
        <v>-1944.687792110675</v>
      </c>
      <c r="O11" s="80">
        <f>O6+O9-O10</f>
        <v>-17944.68779211068</v>
      </c>
      <c r="P11" s="80">
        <f>P6+P9-P10</f>
        <v>-1944.687792110675</v>
      </c>
      <c r="Q11" s="80">
        <f>Q6+Q9-Q10</f>
        <v>-1944.687792110675</v>
      </c>
      <c r="R11" s="80">
        <f>R6+R9-R10</f>
        <v>-1944.687792110675</v>
      </c>
      <c r="S11" s="80">
        <f>S6+S9-S10</f>
        <v>-1944.687792110675</v>
      </c>
      <c r="T11" s="80">
        <f>T6+T9-T10</f>
        <v>-1944.687792110675</v>
      </c>
      <c r="U11" s="80">
        <f>U6+U9-U10</f>
        <v>-1944.687792110675</v>
      </c>
      <c r="V11" s="80">
        <f>V6+V9-V10</f>
        <v>-1944.687792110675</v>
      </c>
      <c r="W11" s="80">
        <f>W6+W9-W10</f>
        <v>-1944.687792110675</v>
      </c>
      <c r="X11" s="80">
        <f>X6+X9-X10</f>
        <v>-1944.687792110675</v>
      </c>
      <c r="Y11" s="80">
        <f>Y6+Y9-Y10</f>
        <v>-1944.687792110675</v>
      </c>
      <c r="Z11" s="85">
        <f>SUMIF($B$13:$Y$13,"Yes",B11:Y11)</f>
        <v>-329612.8145447751</v>
      </c>
      <c r="AA11" s="80">
        <f>SUM(B11:M11)</f>
        <v>-339336.2535053284</v>
      </c>
      <c r="AB11" s="46">
        <f>SUM(B11:Y11)</f>
        <v>-378672.5070106564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0.01677790065588656</v>
      </c>
      <c r="D12" s="82">
        <f>IF(D13="Yes",IF(SUM($B$10:D10)/(SUM($B$6:D6)+SUM($B$9:D9))&lt;0,999.99,SUM($B$10:D10)/(SUM($B$6:D6)+SUM($B$9:D9))),"")</f>
        <v>0.03357771263523668</v>
      </c>
      <c r="E12" s="82">
        <f>IF(E13="Yes",IF(SUM($B$10:E10)/(SUM($B$6:E6)+SUM($B$9:E9))&lt;0,999.99,SUM($B$10:E10)/(SUM($B$6:E6)+SUM($B$9:E9))),"")</f>
        <v>0.05039947888917496</v>
      </c>
      <c r="F12" s="82">
        <f>IF(F13="Yes",IF(SUM($B$10:F10)/(SUM($B$6:F6)+SUM($B$9:F9))&lt;0,999.99,SUM($B$10:F10)/(SUM($B$6:F6)+SUM($B$9:F9))),"")</f>
        <v>0.06724324248115791</v>
      </c>
      <c r="G12" s="82">
        <f>IF(G13="Yes",IF(SUM($B$10:G10)/(SUM($B$6:G6)+SUM($B$9:G9))&lt;0,999.99,SUM($B$10:G10)/(SUM($B$6:G6)+SUM($B$9:G9))),"")</f>
        <v>0.08410904658734142</v>
      </c>
      <c r="H12" s="82">
        <f>IF(H13="Yes",IF(SUM($B$10:H10)/(SUM($B$6:H6)+SUM($B$9:H9))&lt;0,999.99,SUM($B$10:H10)/(SUM($B$6:H6)+SUM($B$9:H9))),"")</f>
        <v>1.110966279466446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16000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16000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16000</v>
      </c>
      <c r="AB36" s="36">
        <f>SUM(B36:Y36)</f>
        <v>32000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8000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8000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8000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8000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-533.3333333333334</v>
      </c>
      <c r="C81" s="46">
        <f>(SUM($AA$18:$AA$29)-SUM($AA$36,$AA$42,$AA$48,$AA$54,$AA$60,$AA$66,$AA$72:$AA$79))*Parameters!$B$37/12</f>
        <v>-533.3333333333334</v>
      </c>
      <c r="D81" s="46">
        <f>(SUM($AA$18:$AA$29)-SUM($AA$36,$AA$42,$AA$48,$AA$54,$AA$60,$AA$66,$AA$72:$AA$79))*Parameters!$B$37/12</f>
        <v>-533.3333333333334</v>
      </c>
      <c r="E81" s="46">
        <f>(SUM($AA$18:$AA$29)-SUM($AA$36,$AA$42,$AA$48,$AA$54,$AA$60,$AA$66,$AA$72:$AA$79))*Parameters!$B$37/12</f>
        <v>-533.3333333333334</v>
      </c>
      <c r="F81" s="46">
        <f>(SUM($AA$18:$AA$29)-SUM($AA$36,$AA$42,$AA$48,$AA$54,$AA$60,$AA$66,$AA$72:$AA$79))*Parameters!$B$37/12</f>
        <v>-533.3333333333334</v>
      </c>
      <c r="G81" s="46">
        <f>(SUM($AA$18:$AA$29)-SUM($AA$36,$AA$42,$AA$48,$AA$54,$AA$60,$AA$66,$AA$72:$AA$79))*Parameters!$B$37/12</f>
        <v>-533.3333333333334</v>
      </c>
      <c r="H81" s="46">
        <f>(SUM($AA$18:$AA$29)-SUM($AA$36,$AA$42,$AA$48,$AA$54,$AA$60,$AA$66,$AA$72:$AA$79))*Parameters!$B$37/12</f>
        <v>-533.3333333333334</v>
      </c>
      <c r="I81" s="46">
        <f>(SUM($AA$18:$AA$29)-SUM($AA$36,$AA$42,$AA$48,$AA$54,$AA$60,$AA$66,$AA$72:$AA$79))*Parameters!$B$37/12</f>
        <v>-533.3333333333334</v>
      </c>
      <c r="J81" s="46">
        <f>(SUM($AA$18:$AA$29)-SUM($AA$36,$AA$42,$AA$48,$AA$54,$AA$60,$AA$66,$AA$72:$AA$79))*Parameters!$B$37/12</f>
        <v>-533.3333333333334</v>
      </c>
      <c r="K81" s="46">
        <f>(SUM($AA$18:$AA$29)-SUM($AA$36,$AA$42,$AA$48,$AA$54,$AA$60,$AA$66,$AA$72:$AA$79))*Parameters!$B$37/12</f>
        <v>-533.3333333333334</v>
      </c>
      <c r="L81" s="46">
        <f>(SUM($AA$18:$AA$29)-SUM($AA$36,$AA$42,$AA$48,$AA$54,$AA$60,$AA$66,$AA$72:$AA$79))*Parameters!$B$37/12</f>
        <v>-533.3333333333334</v>
      </c>
      <c r="M81" s="46">
        <f>(SUM($AA$18:$AA$29)-SUM($AA$36,$AA$42,$AA$48,$AA$54,$AA$60,$AA$66,$AA$72:$AA$79))*Parameters!$B$37/12</f>
        <v>-533.3333333333334</v>
      </c>
      <c r="N81" s="46">
        <f>(SUM($AA$18:$AA$29)-SUM($AA$36,$AA$42,$AA$48,$AA$54,$AA$60,$AA$66,$AA$72:$AA$79))*Parameters!$B$37/12</f>
        <v>-533.3333333333334</v>
      </c>
      <c r="O81" s="46">
        <f>(SUM($AA$18:$AA$29)-SUM($AA$36,$AA$42,$AA$48,$AA$54,$AA$60,$AA$66,$AA$72:$AA$79))*Parameters!$B$37/12</f>
        <v>-533.3333333333334</v>
      </c>
      <c r="P81" s="46">
        <f>(SUM($AA$18:$AA$29)-SUM($AA$36,$AA$42,$AA$48,$AA$54,$AA$60,$AA$66,$AA$72:$AA$79))*Parameters!$B$37/12</f>
        <v>-533.3333333333334</v>
      </c>
      <c r="Q81" s="46">
        <f>(SUM($AA$18:$AA$29)-SUM($AA$36,$AA$42,$AA$48,$AA$54,$AA$60,$AA$66,$AA$72:$AA$79))*Parameters!$B$37/12</f>
        <v>-533.3333333333334</v>
      </c>
      <c r="R81" s="46">
        <f>(SUM($AA$18:$AA$29)-SUM($AA$36,$AA$42,$AA$48,$AA$54,$AA$60,$AA$66,$AA$72:$AA$79))*Parameters!$B$37/12</f>
        <v>-533.3333333333334</v>
      </c>
      <c r="S81" s="46">
        <f>(SUM($AA$18:$AA$29)-SUM($AA$36,$AA$42,$AA$48,$AA$54,$AA$60,$AA$66,$AA$72:$AA$79))*Parameters!$B$37/12</f>
        <v>-533.3333333333334</v>
      </c>
      <c r="T81" s="46">
        <f>(SUM($AA$18:$AA$29)-SUM($AA$36,$AA$42,$AA$48,$AA$54,$AA$60,$AA$66,$AA$72:$AA$79))*Parameters!$B$37/12</f>
        <v>-533.3333333333334</v>
      </c>
      <c r="U81" s="46">
        <f>(SUM($AA$18:$AA$29)-SUM($AA$36,$AA$42,$AA$48,$AA$54,$AA$60,$AA$66,$AA$72:$AA$79))*Parameters!$B$37/12</f>
        <v>-533.3333333333334</v>
      </c>
      <c r="V81" s="46">
        <f>(SUM($AA$18:$AA$29)-SUM($AA$36,$AA$42,$AA$48,$AA$54,$AA$60,$AA$66,$AA$72:$AA$79))*Parameters!$B$37/12</f>
        <v>-533.3333333333334</v>
      </c>
      <c r="W81" s="46">
        <f>(SUM($AA$18:$AA$29)-SUM($AA$36,$AA$42,$AA$48,$AA$54,$AA$60,$AA$66,$AA$72:$AA$79))*Parameters!$B$37/12</f>
        <v>-533.3333333333334</v>
      </c>
      <c r="X81" s="46">
        <f>(SUM($AA$18:$AA$29)-SUM($AA$36,$AA$42,$AA$48,$AA$54,$AA$60,$AA$66,$AA$72:$AA$79))*Parameters!$B$37/12</f>
        <v>-533.3333333333334</v>
      </c>
      <c r="Y81" s="46">
        <f>(SUM($AA$18:$AA$29)-SUM($AA$36,$AA$42,$AA$48,$AA$54,$AA$60,$AA$66,$AA$72:$AA$79))*Parameters!$B$37/12</f>
        <v>-533.3333333333334</v>
      </c>
      <c r="Z81" s="46">
        <f>SUMIF($B$13:$Y$13,"Yes",B81:Y81)</f>
        <v>-3733.333333333334</v>
      </c>
      <c r="AA81" s="46">
        <f>SUM(B81:M81)</f>
        <v>-6399.999999999999</v>
      </c>
      <c r="AB81" s="46">
        <f>SUM(B81:Y81)</f>
        <v>-12800</v>
      </c>
    </row>
    <row r="82" spans="1:30">
      <c r="A82" s="16" t="s">
        <v>52</v>
      </c>
      <c r="B82" s="46">
        <f>SUM(B83:B87)</f>
        <v>2478.021125444008</v>
      </c>
      <c r="C82" s="46">
        <f>SUM(C83:C87)</f>
        <v>2478.021125444008</v>
      </c>
      <c r="D82" s="46">
        <f>SUM(D83:D87)</f>
        <v>2478.021125444008</v>
      </c>
      <c r="E82" s="46">
        <f>SUM(E83:E87)</f>
        <v>2478.021125444008</v>
      </c>
      <c r="F82" s="46">
        <f>SUM(F83:F87)</f>
        <v>2478.021125444008</v>
      </c>
      <c r="G82" s="46">
        <f>SUM(G83:G87)</f>
        <v>2478.021125444008</v>
      </c>
      <c r="H82" s="46">
        <f>SUM(H83:H87)</f>
        <v>2478.021125444008</v>
      </c>
      <c r="I82" s="46">
        <f>SUM(I83:I87)</f>
        <v>2478.021125444008</v>
      </c>
      <c r="J82" s="46">
        <f>SUM(J83:J87)</f>
        <v>2478.021125444008</v>
      </c>
      <c r="K82" s="46">
        <f>SUM(K83:K87)</f>
        <v>2478.021125444008</v>
      </c>
      <c r="L82" s="46">
        <f>SUM(L83:L87)</f>
        <v>2478.021125444008</v>
      </c>
      <c r="M82" s="46">
        <f>SUM(M83:M87)</f>
        <v>2478.021125444008</v>
      </c>
      <c r="N82" s="46">
        <f>SUM(N83:N87)</f>
        <v>2478.021125444008</v>
      </c>
      <c r="O82" s="46">
        <f>SUM(O83:O87)</f>
        <v>2478.021125444008</v>
      </c>
      <c r="P82" s="46">
        <f>SUM(P83:P87)</f>
        <v>2478.021125444008</v>
      </c>
      <c r="Q82" s="46">
        <f>SUM(Q83:Q87)</f>
        <v>2478.021125444008</v>
      </c>
      <c r="R82" s="46">
        <f>SUM(R83:R87)</f>
        <v>2478.021125444008</v>
      </c>
      <c r="S82" s="46">
        <f>SUM(S83:S87)</f>
        <v>2478.021125444008</v>
      </c>
      <c r="T82" s="46">
        <f>SUM(T83:T87)</f>
        <v>2478.021125444008</v>
      </c>
      <c r="U82" s="46">
        <f>SUM(U83:U87)</f>
        <v>2478.021125444008</v>
      </c>
      <c r="V82" s="46">
        <f>SUM(V83:V87)</f>
        <v>2478.021125444008</v>
      </c>
      <c r="W82" s="46">
        <f>SUM(W83:W87)</f>
        <v>2478.021125444008</v>
      </c>
      <c r="X82" s="46">
        <f>SUM(X83:X87)</f>
        <v>2478.021125444008</v>
      </c>
      <c r="Y82" s="46">
        <f>SUM(Y83:Y87)</f>
        <v>2478.021125444008</v>
      </c>
      <c r="Z82" s="46">
        <f>SUMIF($B$13:$Y$13,"Yes",B82:Y82)</f>
        <v>17346.14787810806</v>
      </c>
      <c r="AA82" s="46">
        <f>SUM(B82:M82)</f>
        <v>29736.25350532809</v>
      </c>
      <c r="AB82" s="46">
        <f>SUM(B82:Y82)</f>
        <v>59472.50701065618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2478.021125444008</v>
      </c>
      <c r="C83" s="46">
        <f>IF(Calculations!$E23&gt;COUNT(Output!$B$35:C$35),Calculations!$B23,IF(Calculations!$E23=COUNT(Output!$B$35:C$35),Inputs!$B56-Calculations!$C23*(Calculations!$E23-1)+Calculations!$D23,0))</f>
        <v>2478.021125444008</v>
      </c>
      <c r="D83" s="46">
        <f>IF(Calculations!$E23&gt;COUNT(Output!$B$35:D$35),Calculations!$B23,IF(Calculations!$E23=COUNT(Output!$B$35:D$35),Inputs!$B56-Calculations!$C23*(Calculations!$E23-1)+Calculations!$D23,0))</f>
        <v>2478.021125444008</v>
      </c>
      <c r="E83" s="46">
        <f>IF(Calculations!$E23&gt;COUNT(Output!$B$35:E$35),Calculations!$B23,IF(Calculations!$E23=COUNT(Output!$B$35:E$35),Inputs!$B56-Calculations!$C23*(Calculations!$E23-1)+Calculations!$D23,0))</f>
        <v>2478.021125444008</v>
      </c>
      <c r="F83" s="46">
        <f>IF(Calculations!$E23&gt;COUNT(Output!$B$35:F$35),Calculations!$B23,IF(Calculations!$E23=COUNT(Output!$B$35:F$35),Inputs!$B56-Calculations!$C23*(Calculations!$E23-1)+Calculations!$D23,0))</f>
        <v>2478.021125444008</v>
      </c>
      <c r="G83" s="46">
        <f>IF(Calculations!$E23&gt;COUNT(Output!$B$35:G$35),Calculations!$B23,IF(Calculations!$E23=COUNT(Output!$B$35:G$35),Inputs!$B56-Calculations!$C23*(Calculations!$E23-1)+Calculations!$D23,0))</f>
        <v>2478.021125444008</v>
      </c>
      <c r="H83" s="46">
        <f>IF(Calculations!$E23&gt;COUNT(Output!$B$35:H$35),Calculations!$B23,IF(Calculations!$E23=COUNT(Output!$B$35:H$35),Inputs!$B56-Calculations!$C23*(Calculations!$E23-1)+Calculations!$D23,0))</f>
        <v>2478.021125444008</v>
      </c>
      <c r="I83" s="46">
        <f>IF(Calculations!$E23&gt;COUNT(Output!$B$35:I$35),Calculations!$B23,IF(Calculations!$E23=COUNT(Output!$B$35:I$35),Inputs!$B56-Calculations!$C23*(Calculations!$E23-1)+Calculations!$D23,0))</f>
        <v>2478.021125444008</v>
      </c>
      <c r="J83" s="46">
        <f>IF(Calculations!$E23&gt;COUNT(Output!$B$35:J$35),Calculations!$B23,IF(Calculations!$E23=COUNT(Output!$B$35:J$35),Inputs!$B56-Calculations!$C23*(Calculations!$E23-1)+Calculations!$D23,0))</f>
        <v>2478.021125444008</v>
      </c>
      <c r="K83" s="46">
        <f>IF(Calculations!$E23&gt;COUNT(Output!$B$35:K$35),Calculations!$B23,IF(Calculations!$E23=COUNT(Output!$B$35:K$35),Inputs!$B56-Calculations!$C23*(Calculations!$E23-1)+Calculations!$D23,0))</f>
        <v>2478.021125444008</v>
      </c>
      <c r="L83" s="46">
        <f>IF(Calculations!$E23&gt;COUNT(Output!$B$35:L$35),Calculations!$B23,IF(Calculations!$E23=COUNT(Output!$B$35:L$35),Inputs!$B56-Calculations!$C23*(Calculations!$E23-1)+Calculations!$D23,0))</f>
        <v>2478.021125444008</v>
      </c>
      <c r="M83" s="46">
        <f>IF(Calculations!$E23&gt;COUNT(Output!$B$35:M$35),Calculations!$B23,IF(Calculations!$E23=COUNT(Output!$B$35:M$35),Inputs!$B56-Calculations!$C23*(Calculations!$E23-1)+Calculations!$D23,0))</f>
        <v>2478.021125444008</v>
      </c>
      <c r="N83" s="46">
        <f>IF(Calculations!$E23&gt;COUNT(Output!$B$35:N$35),Calculations!$B23,IF(Calculations!$E23=COUNT(Output!$B$35:N$35),Inputs!$B56-Calculations!$C23*(Calculations!$E23-1)+Calculations!$D23,0))</f>
        <v>2478.021125444008</v>
      </c>
      <c r="O83" s="46">
        <f>IF(Calculations!$E23&gt;COUNT(Output!$B$35:O$35),Calculations!$B23,IF(Calculations!$E23=COUNT(Output!$B$35:O$35),Inputs!$B56-Calculations!$C23*(Calculations!$E23-1)+Calculations!$D23,0))</f>
        <v>2478.021125444008</v>
      </c>
      <c r="P83" s="46">
        <f>IF(Calculations!$E23&gt;COUNT(Output!$B$35:P$35),Calculations!$B23,IF(Calculations!$E23=COUNT(Output!$B$35:P$35),Inputs!$B56-Calculations!$C23*(Calculations!$E23-1)+Calculations!$D23,0))</f>
        <v>2478.021125444008</v>
      </c>
      <c r="Q83" s="46">
        <f>IF(Calculations!$E23&gt;COUNT(Output!$B$35:Q$35),Calculations!$B23,IF(Calculations!$E23=COUNT(Output!$B$35:Q$35),Inputs!$B56-Calculations!$C23*(Calculations!$E23-1)+Calculations!$D23,0))</f>
        <v>2478.021125444008</v>
      </c>
      <c r="R83" s="46">
        <f>IF(Calculations!$E23&gt;COUNT(Output!$B$35:R$35),Calculations!$B23,IF(Calculations!$E23=COUNT(Output!$B$35:R$35),Inputs!$B56-Calculations!$C23*(Calculations!$E23-1)+Calculations!$D23,0))</f>
        <v>2478.021125444008</v>
      </c>
      <c r="S83" s="46">
        <f>IF(Calculations!$E23&gt;COUNT(Output!$B$35:S$35),Calculations!$B23,IF(Calculations!$E23=COUNT(Output!$B$35:S$35),Inputs!$B56-Calculations!$C23*(Calculations!$E23-1)+Calculations!$D23,0))</f>
        <v>2478.021125444008</v>
      </c>
      <c r="T83" s="46">
        <f>IF(Calculations!$E23&gt;COUNT(Output!$B$35:T$35),Calculations!$B23,IF(Calculations!$E23=COUNT(Output!$B$35:T$35),Inputs!$B56-Calculations!$C23*(Calculations!$E23-1)+Calculations!$D23,0))</f>
        <v>2478.021125444008</v>
      </c>
      <c r="U83" s="46">
        <f>IF(Calculations!$E23&gt;COUNT(Output!$B$35:U$35),Calculations!$B23,IF(Calculations!$E23=COUNT(Output!$B$35:U$35),Inputs!$B56-Calculations!$C23*(Calculations!$E23-1)+Calculations!$D23,0))</f>
        <v>2478.021125444008</v>
      </c>
      <c r="V83" s="46">
        <f>IF(Calculations!$E23&gt;COUNT(Output!$B$35:V$35),Calculations!$B23,IF(Calculations!$E23=COUNT(Output!$B$35:V$35),Inputs!$B56-Calculations!$C23*(Calculations!$E23-1)+Calculations!$D23,0))</f>
        <v>2478.021125444008</v>
      </c>
      <c r="W83" s="46">
        <f>IF(Calculations!$E23&gt;COUNT(Output!$B$35:W$35),Calculations!$B23,IF(Calculations!$E23=COUNT(Output!$B$35:W$35),Inputs!$B56-Calculations!$C23*(Calculations!$E23-1)+Calculations!$D23,0))</f>
        <v>2478.021125444008</v>
      </c>
      <c r="X83" s="46">
        <f>IF(Calculations!$E23&gt;COUNT(Output!$B$35:X$35),Calculations!$B23,IF(Calculations!$E23=COUNT(Output!$B$35:X$35),Inputs!$B56-Calculations!$C23*(Calculations!$E23-1)+Calculations!$D23,0))</f>
        <v>2478.021125444008</v>
      </c>
      <c r="Y83" s="46">
        <f>IF(Calculations!$E23&gt;COUNT(Output!$B$35:Y$35),Calculations!$B23,IF(Calculations!$E23=COUNT(Output!$B$35:Y$35),Inputs!$B56-Calculations!$C23*(Calculations!$E23-1)+Calculations!$D23,0))</f>
        <v>2478.021125444008</v>
      </c>
      <c r="Z83" s="46">
        <f>SUMIF($B$13:$Y$13,"Yes",B83:Y83)</f>
        <v>17346.14787810806</v>
      </c>
      <c r="AA83" s="46">
        <f>SUM(B83:M83)</f>
        <v>29736.25350532809</v>
      </c>
      <c r="AB83" s="46">
        <f>SUM(B83:Y83)</f>
        <v>59472.50701065618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1944.687792110675</v>
      </c>
      <c r="C88" s="19">
        <f>SUM(C72:C82,C66,C60,C54,C48,C42,C36)</f>
        <v>17944.68779211068</v>
      </c>
      <c r="D88" s="19">
        <f>SUM(D72:D82,D66,D60,D54,D48,D42,D36)</f>
        <v>1944.687792110675</v>
      </c>
      <c r="E88" s="19">
        <f>SUM(E72:E82,E66,E60,E54,E48,E42,E36)</f>
        <v>1944.687792110675</v>
      </c>
      <c r="F88" s="19">
        <f>SUM(F72:F82,F66,F60,F54,F48,F42,F36)</f>
        <v>1944.687792110675</v>
      </c>
      <c r="G88" s="19">
        <f>SUM(G72:G82,G66,G60,G54,G48,G42,G36)</f>
        <v>1944.687792110675</v>
      </c>
      <c r="H88" s="19">
        <f>SUM(H72:H82,H66,H60,H54,H48,H42,H36)</f>
        <v>1944.687792110675</v>
      </c>
      <c r="I88" s="19">
        <f>SUM(I72:I82,I66,I60,I54,I48,I42,I36)</f>
        <v>1944.687792110675</v>
      </c>
      <c r="J88" s="19">
        <f>SUM(J72:J82,J66,J60,J54,J48,J42,J36)</f>
        <v>1944.687792110675</v>
      </c>
      <c r="K88" s="19">
        <f>SUM(K72:K82,K66,K60,K54,K48,K42,K36)</f>
        <v>1944.687792110675</v>
      </c>
      <c r="L88" s="19">
        <f>SUM(L72:L82,L66,L60,L54,L48,L42,L36)</f>
        <v>1944.687792110675</v>
      </c>
      <c r="M88" s="19">
        <f>SUM(M72:M82,M66,M60,M54,M48,M42,M36)</f>
        <v>1944.687792110675</v>
      </c>
      <c r="N88" s="19">
        <f>SUM(N72:N82,N66,N60,N54,N48,N42,N36)</f>
        <v>1944.687792110675</v>
      </c>
      <c r="O88" s="19">
        <f>SUM(O72:O82,O66,O60,O54,O48,O42,O36)</f>
        <v>17944.68779211068</v>
      </c>
      <c r="P88" s="19">
        <f>SUM(P72:P82,P66,P60,P54,P48,P42,P36)</f>
        <v>1944.687792110675</v>
      </c>
      <c r="Q88" s="19">
        <f>SUM(Q72:Q82,Q66,Q60,Q54,Q48,Q42,Q36)</f>
        <v>1944.687792110675</v>
      </c>
      <c r="R88" s="19">
        <f>SUM(R72:R82,R66,R60,R54,R48,R42,R36)</f>
        <v>1944.687792110675</v>
      </c>
      <c r="S88" s="19">
        <f>SUM(S72:S82,S66,S60,S54,S48,S42,S36)</f>
        <v>1944.687792110675</v>
      </c>
      <c r="T88" s="19">
        <f>SUM(T72:T82,T66,T60,T54,T48,T42,T36)</f>
        <v>1944.687792110675</v>
      </c>
      <c r="U88" s="19">
        <f>SUM(U72:U82,U66,U60,U54,U48,U42,U36)</f>
        <v>1944.687792110675</v>
      </c>
      <c r="V88" s="19">
        <f>SUM(V72:V82,V66,V60,V54,V48,V42,V36)</f>
        <v>1944.687792110675</v>
      </c>
      <c r="W88" s="19">
        <f>SUM(W72:W82,W66,W60,W54,W48,W42,W36)</f>
        <v>1944.687792110675</v>
      </c>
      <c r="X88" s="19">
        <f>SUM(X72:X82,X66,X60,X54,X48,X42,X36)</f>
        <v>1944.687792110675</v>
      </c>
      <c r="Y88" s="19">
        <f>SUM(Y72:Y82,Y66,Y60,Y54,Y48,Y42,Y36)</f>
        <v>1944.687792110675</v>
      </c>
      <c r="Z88" s="19">
        <f>SUMIF($B$13:$Y$13,"Yes",B88:Y88)</f>
        <v>29612.81454477473</v>
      </c>
      <c r="AA88" s="19">
        <f>SUM(B88:M88)</f>
        <v>39336.25350532809</v>
      </c>
      <c r="AB88" s="19">
        <f>SUM(B88:Y88)</f>
        <v>78672.50701065619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83000</v>
      </c>
    </row>
    <row r="95" spans="1:30">
      <c r="A95" t="s">
        <v>61</v>
      </c>
      <c r="B95" s="36">
        <f>Inputs!B47</f>
        <v>1250000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4200000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5500000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11033000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51236</v>
      </c>
    </row>
    <row r="106" spans="1:30" customHeight="1" ht="15.75">
      <c r="A106" s="18" t="s">
        <v>71</v>
      </c>
      <c r="B106" s="37">
        <f>Calculations!G35</f>
        <v>3000000</v>
      </c>
    </row>
    <row r="107" spans="1:30" customHeight="1" ht="15.75">
      <c r="A107" s="1" t="s">
        <v>72</v>
      </c>
      <c r="B107" s="19">
        <f>SUM(B104:B106)</f>
        <v>3051236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 t="s">
        <v>89</v>
      </c>
      <c r="B8" s="16"/>
      <c r="C8" s="143">
        <v>4</v>
      </c>
      <c r="D8" s="16"/>
      <c r="E8" s="147" t="s">
        <v>95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</v>
      </c>
    </row>
    <row r="27" spans="1:48">
      <c r="A27" s="14" t="s">
        <v>112</v>
      </c>
    </row>
    <row r="29" spans="1:48">
      <c r="A29" s="45" t="s">
        <v>113</v>
      </c>
      <c r="B29" s="156"/>
    </row>
    <row r="30" spans="1:48">
      <c r="A30" s="44" t="s">
        <v>114</v>
      </c>
      <c r="B30" s="157">
        <v>0</v>
      </c>
    </row>
    <row r="31" spans="1:48">
      <c r="A31" s="5" t="s">
        <v>115</v>
      </c>
      <c r="B31" s="158">
        <v>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92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128</v>
      </c>
    </row>
    <row r="45" spans="1:48">
      <c r="A45" s="56" t="s">
        <v>129</v>
      </c>
      <c r="B45" s="161"/>
    </row>
    <row r="46" spans="1:48" customHeight="1" ht="30">
      <c r="A46" s="57" t="s">
        <v>130</v>
      </c>
      <c r="B46" s="161">
        <v>5500000</v>
      </c>
    </row>
    <row r="47" spans="1:48" customHeight="1" ht="30">
      <c r="A47" s="57" t="s">
        <v>131</v>
      </c>
      <c r="B47" s="161">
        <v>1250000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83000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95000</v>
      </c>
      <c r="B56" s="159">
        <v>51236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146</v>
      </c>
      <c r="C65" s="10" t="s">
        <v>147</v>
      </c>
    </row>
    <row r="66" spans="1:48">
      <c r="A66" s="142" t="s">
        <v>148</v>
      </c>
      <c r="B66" s="159">
        <v>704580</v>
      </c>
      <c r="C66" s="163">
        <v>596895</v>
      </c>
      <c r="D66" s="49">
        <f>INDEX(Parameters!$D$79:$D$90,MATCH(Inputs!A66,Parameters!$C$79:$C$90,0))</f>
        <v>1</v>
      </c>
    </row>
    <row r="67" spans="1:48">
      <c r="A67" s="143" t="s">
        <v>149</v>
      </c>
      <c r="B67" s="157">
        <v>1947466</v>
      </c>
      <c r="C67" s="165">
        <v>1844755</v>
      </c>
      <c r="D67" s="49">
        <f>INDEX(Parameters!$D$79:$D$90,MATCH(Inputs!A67,Parameters!$C$79:$C$90,0))</f>
        <v>2</v>
      </c>
    </row>
    <row r="68" spans="1:48">
      <c r="A68" s="143" t="s">
        <v>150</v>
      </c>
      <c r="B68" s="157">
        <v>4297923</v>
      </c>
      <c r="C68" s="165">
        <v>4066305</v>
      </c>
      <c r="D68" s="49">
        <f>INDEX(Parameters!$D$79:$D$90,MATCH(Inputs!A68,Parameters!$C$79:$C$90,0))</f>
        <v>3</v>
      </c>
    </row>
    <row r="69" spans="1:48">
      <c r="A69" s="143" t="s">
        <v>151</v>
      </c>
      <c r="B69" s="157">
        <v>3434090</v>
      </c>
      <c r="C69" s="165">
        <v>3276321</v>
      </c>
      <c r="D69" s="49">
        <f>INDEX(Parameters!$D$79:$D$90,MATCH(Inputs!A69,Parameters!$C$79:$C$90,0))</f>
        <v>4</v>
      </c>
    </row>
    <row r="70" spans="1:48">
      <c r="A70" s="143" t="s">
        <v>152</v>
      </c>
      <c r="B70" s="157">
        <v>2533005</v>
      </c>
      <c r="C70" s="165">
        <v>2364845</v>
      </c>
      <c r="D70" s="49">
        <f>INDEX(Parameters!$D$79:$D$90,MATCH(Inputs!A70,Parameters!$C$79:$C$90,0))</f>
        <v>5</v>
      </c>
    </row>
    <row r="71" spans="1:48">
      <c r="A71" s="144" t="s">
        <v>153</v>
      </c>
      <c r="B71" s="158">
        <v>949869</v>
      </c>
      <c r="C71" s="167">
        <v>799018</v>
      </c>
      <c r="D71" s="49">
        <f>INDEX(Parameters!$D$79:$D$90,MATCH(Inputs!A71,Parameters!$C$79:$C$90,0))</f>
        <v>6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4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3000000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6</v>
      </c>
    </row>
    <row r="86" spans="1:48">
      <c r="A86" t="s">
        <v>169</v>
      </c>
      <c r="B86" s="161">
        <v>5</v>
      </c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42948</v>
      </c>
      <c r="C4" s="38">
        <f>IFERROR(DATE(YEAR(B4),MONTH(B4)+ROUND(T4/2,0),DAY(B4)),B4)</f>
        <v>42948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4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8000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24000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42948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4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8000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24000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95000</v>
      </c>
      <c r="B23" s="75">
        <f>SUM(C23:D23)</f>
        <v>2478.021125444008</v>
      </c>
      <c r="C23" s="75">
        <f>IF(Inputs!B56&gt;0,(Inputs!A56-Inputs!B56)/(DATE(YEAR(Inputs!$B$76),MONTH(Inputs!$B$76),DAY(Inputs!$B$76))-DATE(YEAR(Inputs!C56),MONTH(Inputs!C56),DAY(Inputs!C56)))*30,0)</f>
        <v>736.3544587773415</v>
      </c>
      <c r="D23" s="75">
        <f>IF(Inputs!B56&gt;0,Inputs!A56*0.22/12,0)</f>
        <v>1741.666666666667</v>
      </c>
      <c r="E23" s="75">
        <f>IFERROR(ROUNDUP(Inputs!B56/C23,0),0)</f>
        <v>70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42961</v>
      </c>
      <c r="C33" s="27">
        <f>IF(B33&lt;&gt;"",IF(COUNT($A$33:A33)&lt;=$G$39,0,$G$41)+IF(COUNT($A$33:A33)&lt;=$G$40,0,$G$42),0)</f>
        <v>50000</v>
      </c>
      <c r="D33" s="170">
        <f>IFERROR(DATE(YEAR(B33),MONTH(B33),1)," ")</f>
        <v>42948</v>
      </c>
      <c r="F33" t="s">
        <v>159</v>
      </c>
      <c r="G33" s="128">
        <f>IF(Inputs!B79="","",DATE(YEAR(Inputs!B79),MONTH(Inputs!B79),DAY(Inputs!B79)))</f>
        <v>42923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42992</v>
      </c>
      <c r="C34" s="27">
        <f>IF(B34&lt;&gt;"",IF(COUNT($A$33:A34)&lt;=$G$39,0,$G$41)+IF(COUNT($A$33:A34)&lt;=$G$40,0,$G$42),0)</f>
        <v>50000</v>
      </c>
      <c r="D34" s="170">
        <f>IFERROR(DATE(YEAR(B34),MONTH(B34),1)," ")</f>
        <v>42979</v>
      </c>
      <c r="F34" t="s">
        <v>161</v>
      </c>
      <c r="G34" s="128">
        <f>IF(Inputs!B80="","",DATE(YEAR(Inputs!B80),MONTH(Inputs!B80),DAY(Inputs!B80)))</f>
        <v>42961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43022</v>
      </c>
      <c r="C35" s="27">
        <f>IF(B35&lt;&gt;"",IF(COUNT($A$33:A35)&lt;=$G$39,0,$G$41)+IF(COUNT($A$33:A35)&lt;=$G$40,0,$G$42),0)</f>
        <v>50000</v>
      </c>
      <c r="D35" s="170">
        <f>IFERROR(DATE(YEAR(B35),MONTH(B35),1)," ")</f>
        <v>43009</v>
      </c>
      <c r="F35" t="s">
        <v>163</v>
      </c>
      <c r="G35" s="27">
        <f>Inputs!B81</f>
        <v>3000000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43053</v>
      </c>
      <c r="C36" s="27">
        <f>IF(B36&lt;&gt;"",IF(COUNT($A$33:A36)&lt;=$G$39,0,$G$41)+IF(COUNT($A$33:A36)&lt;=$G$40,0,$G$42),0)</f>
        <v>50000</v>
      </c>
      <c r="D36" s="170">
        <f>IFERROR(DATE(YEAR(B36),MONTH(B36),1)," ")</f>
        <v>43040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43083</v>
      </c>
      <c r="C37" s="27">
        <f>IF(B37&lt;&gt;"",IF(COUNT($A$33:A37)&lt;=$G$39,0,$G$41)+IF(COUNT($A$33:A37)&lt;=$G$40,0,$G$42),0)</f>
        <v>50000</v>
      </c>
      <c r="D37" s="170">
        <f>IFERROR(DATE(YEAR(B37),MONTH(B37),1)," ")</f>
        <v>43070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43114</v>
      </c>
      <c r="C38" s="27">
        <f>IF(B38&lt;&gt;"",IF(COUNT($A$33:A38)&lt;=$G$39,0,$G$41)+IF(COUNT($A$33:A38)&lt;=$G$40,0,$G$42),0)</f>
        <v>3050000</v>
      </c>
      <c r="D38" s="170">
        <f>IFERROR(DATE(YEAR(B38),MONTH(B38),1)," ")</f>
        <v>43101</v>
      </c>
      <c r="F38" t="s">
        <v>226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169</v>
      </c>
      <c r="G39" s="27">
        <f>IF(Inputs!B86="",0,Inputs!B86)</f>
        <v>5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227</v>
      </c>
      <c r="G41" s="73">
        <f>IFERROR(G35/(G38-G39),"")</f>
        <v>3000000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228</v>
      </c>
      <c r="G42" s="73">
        <f>IFERROR(G35*G36*IF(G37="Monthly",G38/12,IF(G37="Fortnightly",G38/(365/14),G38/(365/28)))/(G38-G40),"")</f>
        <v>50000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98</v>
      </c>
      <c r="B41" s="191" t="s">
        <v>128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298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315</v>
      </c>
      <c r="H52" s="12" t="s">
        <v>126</v>
      </c>
      <c r="I52" s="12" t="s">
        <v>316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229</v>
      </c>
      <c r="E53" s="10" t="s">
        <v>188</v>
      </c>
      <c r="F53" s="10" t="s">
        <v>248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128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128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128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128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128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128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128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166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225</v>
      </c>
      <c r="J76" s="11" t="s">
        <v>349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128</v>
      </c>
      <c r="F77" s="12" t="s">
        <v>128</v>
      </c>
      <c r="G77" s="12" t="s">
        <v>351</v>
      </c>
      <c r="H77" s="12" t="s">
        <v>126</v>
      </c>
      <c r="I77" s="12" t="s">
        <v>352</v>
      </c>
      <c r="J77" s="136" t="s">
        <v>353</v>
      </c>
      <c r="K77" s="12" t="s">
        <v>128</v>
      </c>
      <c r="AJ77" s="12"/>
    </row>
    <row r="78" spans="1:36">
      <c r="A78" t="s">
        <v>128</v>
      </c>
      <c r="B78" s="176">
        <v>5</v>
      </c>
      <c r="C78" s="134" t="s">
        <v>354</v>
      </c>
      <c r="D78" s="133"/>
      <c r="E78" s="12" t="s">
        <v>355</v>
      </c>
      <c r="F78" s="12" t="s">
        <v>93</v>
      </c>
      <c r="G78" s="12" t="s">
        <v>356</v>
      </c>
      <c r="H78" s="12" t="s">
        <v>316</v>
      </c>
      <c r="I78" s="12" t="s">
        <v>357</v>
      </c>
      <c r="J78" s="70" t="s">
        <v>358</v>
      </c>
      <c r="K78" s="12" t="s">
        <v>128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166</v>
      </c>
      <c r="J79" s="70" t="s">
        <v>90</v>
      </c>
      <c r="K79" s="12" t="s">
        <v>128</v>
      </c>
      <c r="AJ79" s="12"/>
    </row>
    <row r="80" spans="1:36">
      <c r="B80" s="176">
        <v>20</v>
      </c>
      <c r="C80" s="12" t="s">
        <v>149</v>
      </c>
      <c r="D80" s="12">
        <f>D79+1</f>
        <v>2</v>
      </c>
      <c r="E80" s="12" t="s">
        <v>91</v>
      </c>
      <c r="F80" s="12" t="s">
        <v>362</v>
      </c>
      <c r="J80" s="70" t="s">
        <v>95</v>
      </c>
      <c r="K80" s="12" t="s">
        <v>92</v>
      </c>
      <c r="AJ80" s="12"/>
    </row>
    <row r="81" spans="1:36">
      <c r="B81" s="176">
        <v>30</v>
      </c>
      <c r="C81" s="12" t="s">
        <v>150</v>
      </c>
      <c r="D81" s="12">
        <f>D80+1</f>
        <v>3</v>
      </c>
      <c r="J81" s="70" t="s">
        <v>363</v>
      </c>
      <c r="K81" s="12" t="s">
        <v>92</v>
      </c>
    </row>
    <row r="82" spans="1:36">
      <c r="B82" s="176">
        <v>40</v>
      </c>
      <c r="C82" s="12" t="s">
        <v>151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153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96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