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<sst xmlns="http://schemas.openxmlformats.org/spreadsheetml/2006/main" uniqueCount="372">
  <si>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</si>
  <si>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</si>
  <si>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</si>
  <si>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</si>
  <si>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</si>
  <si>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</si>
  <si>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</si>
  <si>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</si>
  <si>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</si>
  <si>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</si>
  <si>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</si>
  <si>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</si>
  <si>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</si>
  <si>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</si>
  <si>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</si>
  <si>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</si>
  <si>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</si>
  <si>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</si>
  <si>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</si>
  <si>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</si>
  <si>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</si>
  <si>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</si>
  <si>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</si>
  <si>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</si>
  <si>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</si>
  <si>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</si>
  <si>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</si>
  <si>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</si>
  <si>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</si>
  <si>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</si>
  <si>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</si>
  <si>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</si>
  <si>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</si>
  <si>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</si>
  <si>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</si>
  <si>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</si>
  <si>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</si>
  <si>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</si>
  <si>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</si>
  <si>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</si>
  <si>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</si>
  <si>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</si>
  <si>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</si>
  <si>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</si>
  <si>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</si>
  <si>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</si>
  <si>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</si>
  <si>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</si>
  <si>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</si>
  <si>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</si>
  <si>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</si>
  <si>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</si>
  <si>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</si>
  <si>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</si>
  <si>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</si>
  <si>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</si>
  <si>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</si>
  <si>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</si>
  <si>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</si>
  <si>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</si>
  <si>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</si>
  <si>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</si>
  <si>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</si>
  <si>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</si>
  <si>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</si>
  <si>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</si>
  <si>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</si>
  <si>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</si>
  <si>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</si>
  <si>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</si>
  <si>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</si>
  <si>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</si>
  <si>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</si>
  <si>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</si>
  <si>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</si>
  <si>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</si>
  <si>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</si>
  <si>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</si>
  <si>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</si>
  <si>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</si>
  <si>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</si>
  <si>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</si>
  <si>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</si>
  <si>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</si>
  <si>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</si>
  <si>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</si>
  <si>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</si>
  <si>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</si>
  <si>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</si>
  <si>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</si>
  <si>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</si>
  <si>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Yes both manure and inorganic</t>
  </si>
  <si>
    <t>Yes</t>
  </si>
  <si>
    <t>Yes without the use of a pump</t>
  </si>
  <si>
    <t>no planting_trees are mature</t>
  </si>
  <si>
    <t>Bananas</t>
  </si>
  <si>
    <t>Other farmers</t>
  </si>
  <si>
    <t>No</t>
  </si>
  <si>
    <t>Maize</t>
  </si>
  <si>
    <t>December</t>
  </si>
  <si>
    <t>Other crops</t>
  </si>
  <si>
    <t>NGO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</si>
  <si>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</si>
  <si>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</si>
  <si>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</si>
  <si>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</si>
  <si>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</si>
  <si>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</si>
  <si>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</si>
  <si>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</si>
  <si>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</si>
  <si>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</si>
  <si>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</si>
  <si>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</si>
  <si>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</si>
  <si>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</si>
  <si>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</si>
  <si>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</si>
  <si>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</si>
  <si>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</si>
  <si>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</si>
  <si>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</si>
  <si>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</si>
  <si>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</si>
  <si>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</si>
  <si>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Club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</si>
  <si>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</si>
  <si>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</si>
  <si>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</si>
  <si>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</si>
  <si>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</si>
  <si>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</si>
  <si>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</si>
  <si>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</si>
  <si>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</si>
  <si>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</si>
  <si>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</si>
  <si>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</si>
  <si>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</si>
  <si>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</si>
  <si>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</si>
  <si>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</si>
  <si>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</si>
  <si>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</si>
  <si>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</si>
  <si>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</si>
  <si>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</si>
  <si>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</si>
  <si>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</si>
  <si>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</si>
  <si>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</si>
  <si>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</si>
  <si>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</si>
  <si>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7/6/2017</t>
  </si>
  <si>
    <t xml:space="preserve">AFC credit </t>
  </si>
  <si>
    <t xml:space="preserve">Listed but cleared </t>
  </si>
  <si>
    <t xml:space="preserve">Fortune Sacco </t>
  </si>
  <si>
    <t xml:space="preserve">well serviced 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</si>
  <si>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</si>
  <si>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</si>
  <si>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</si>
  <si>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</si>
  <si>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</si>
  <si>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</si>
  <si>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</si>
  <si>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November</t>
  </si>
  <si>
    <t>Loan info</t>
  </si>
  <si>
    <t>Branch ID</t>
  </si>
  <si>
    <t>Submission date</t>
  </si>
  <si>
    <t>2017/7/7</t>
  </si>
  <si>
    <t>Loan terms</t>
  </si>
  <si>
    <t>Expected disbursement date</t>
  </si>
  <si>
    <t>Expected first repayment date</t>
  </si>
  <si>
    <t>2017/8/16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</si>
  <si>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</si>
  <si>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</si>
  <si>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</si>
  <si>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</si>
  <si>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</si>
  <si>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</si>
  <si>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</si>
  <si>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</si>
  <si>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</si>
  <si>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</si>
  <si>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</si>
  <si>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</si>
  <si>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</si>
  <si>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</si>
  <si>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</si>
  <si>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</si>
  <si>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</si>
  <si>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</si>
  <si>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</si>
  <si>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</si>
  <si>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</si>
  <si>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</si>
  <si>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</si>
  <si>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</si>
  <si>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</si>
  <si>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</si>
  <si>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</si>
  <si>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</si>
  <si>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</si>
  <si>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</si>
  <si>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</si>
  <si>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</si>
  <si>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</si>
  <si>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</si>
  <si>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</si>
  <si>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</si>
  <si>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</si>
  <si>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</si>
  <si>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</si>
  <si>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</si>
  <si>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</si>
  <si>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</si>
  <si>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</si>
  <si>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</si>
  <si>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</si>
  <si>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</si>
  <si>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</si>
  <si>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</si>
  <si>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</si>
  <si>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</si>
  <si>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</si>
  <si>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</si>
  <si>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</si>
  <si>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</si>
  <si>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</si>
  <si>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</si>
  <si>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</si>
  <si>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</si>
  <si>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</si>
  <si>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</si>
  <si>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</si>
  <si>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</si>
  <si>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</si>
  <si>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</si>
  <si>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</si>
  <si>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</si>
  <si>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</si>
  <si>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</si>
  <si>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</si>
  <si>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</si>
  <si>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</si>
  <si>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</si>
  <si>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</si>
  <si>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</si>
  <si>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</si>
  <si>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</si>
  <si>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</si>
  <si>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</si>
  <si>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</si>
  <si>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</si>
  <si>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</si>
  <si>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</si>
  <si>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</si>
  <si>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</si>
  <si>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</si>
  <si>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</si>
  <si>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</si>
  <si>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</si>
  <si>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</si>
  <si>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</si>
  <si>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</si>
  <si>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</si>
  <si>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</si>
  <si>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</si>
  <si>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</si>
  <si>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</si>
  <si>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</si>
  <si>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</si>
  <si>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</si>
  <si>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</si>
  <si>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</si>
  <si>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</si>
  <si>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</si>
  <si>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</si>
  <si>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</si>
  <si>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</si>
  <si>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</si>
  <si>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</si>
  <si>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</si>
  <si>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</si>
  <si>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</si>
  <si>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</si>
  <si>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</si>
  <si>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</si>
  <si>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</si>
  <si>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</si>
  <si>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</si>
  <si>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</si>
  <si>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</si>
  <si>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</si>
  <si>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</si>
  <si>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</si>
  <si>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</si>
  <si>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</si>
  <si>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</si>
  <si>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</si>
  <si>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</si>
  <si>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</si>
  <si>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</si>
  <si>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</si>
  <si>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</si>
  <si>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</si>
  <si>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</si>
  <si>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</si>
  <si>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</si>
  <si>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</si>
  <si>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</si>
  <si>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</si>
  <si>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</si>
  <si>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</si>
  <si>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</si>
  <si>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</si>
  <si>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</si>
  <si>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</si>
  <si>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</si>
  <si>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</si>
  <si>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</si>
  <si>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</si>
  <si>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</si>
  <si>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</si>
  <si>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</si>
  <si>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</si>
  <si>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</si>
  <si>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</si>
  <si>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</si>
  <si>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</si>
  <si>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</si>
  <si>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</si>
  <si>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</si>
  <si>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</si>
  <si>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</si>
  <si>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</si>
  <si>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</si>
  <si>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</si>
  <si>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</si>
  <si>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</si>
  <si>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</si>
  <si>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</si>
  <si>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</si>
  <si>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</si>
  <si>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</si>
  <si>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</si>
  <si>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</si>
  <si>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</si>
  <si>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</si>
  <si>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</si>
  <si>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</si>
  <si>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</si>
  <si>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</si>
  <si>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</si>
  <si>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</si>
  <si>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</si>
  <si>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</si>
  <si>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</si>
  <si>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</si>
  <si>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only manure</t>
  </si>
  <si>
    <t>Yes using a diesel pump</t>
  </si>
  <si>
    <t>Weeks</t>
  </si>
  <si>
    <t>Yes inorganic fertilizers</t>
  </si>
  <si>
    <t>Yes using a solar pump</t>
  </si>
  <si>
    <t>Shop_common variety</t>
  </si>
  <si>
    <t>Shop_certified variety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</si>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</sst>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Bananas,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Club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0.2078167650767545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0.006573306659045442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873800.7403677168</v>
      </c>
    </row>
    <row r="18" spans="1:7">
      <c r="B18" s="1" t="s">
        <v>12</v>
      </c>
      <c r="C18" s="36">
        <f>MIN(Output!B6:M6)</f>
        <v>-64235.5577024298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117155.0730257835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67600</v>
      </c>
    </row>
    <row r="25" spans="1:7">
      <c r="B25" s="1" t="s">
        <v>18</v>
      </c>
      <c r="C25" s="36">
        <f>MAX(Inputs!A56:A60)</f>
        <v>289000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-64235.5577024298</v>
      </c>
      <c r="C6" s="51">
        <f>C30-C88</f>
        <v>77398.60989899308</v>
      </c>
      <c r="D6" s="51">
        <f>D30-D88</f>
        <v>76455.83274438611</v>
      </c>
      <c r="E6" s="51">
        <f>E30-E88</f>
        <v>117155.0730257835</v>
      </c>
      <c r="F6" s="51">
        <f>F30-F88</f>
        <v>81941.38705360005</v>
      </c>
      <c r="G6" s="51">
        <f>G30-G88</f>
        <v>74153.77563090355</v>
      </c>
      <c r="H6" s="51">
        <f>H30-H88</f>
        <v>81062.77563090355</v>
      </c>
      <c r="I6" s="51">
        <f>I30-I88</f>
        <v>80162.77563090355</v>
      </c>
      <c r="J6" s="51">
        <f>J30-J88</f>
        <v>80141.38705360005</v>
      </c>
      <c r="K6" s="51">
        <f>K30-K88</f>
        <v>117155.0730257835</v>
      </c>
      <c r="L6" s="51">
        <f>L30-L88</f>
        <v>78255.83274438611</v>
      </c>
      <c r="M6" s="51">
        <f>M30-M88</f>
        <v>74153.77563090355</v>
      </c>
      <c r="N6" s="51">
        <f>N30-N88</f>
        <v>81062.77563090355</v>
      </c>
      <c r="O6" s="51">
        <f>O30-O88</f>
        <v>77398.60989899308</v>
      </c>
      <c r="P6" s="51">
        <f>P30-P88</f>
        <v>76455.83274438611</v>
      </c>
      <c r="Q6" s="51">
        <f>Q30-Q88</f>
        <v>117155.0730257835</v>
      </c>
      <c r="R6" s="51">
        <f>R30-R88</f>
        <v>81941.38705360005</v>
      </c>
      <c r="S6" s="51">
        <f>S30-S88</f>
        <v>74153.77563090355</v>
      </c>
      <c r="T6" s="51">
        <f>T30-T88</f>
        <v>81062.77563090355</v>
      </c>
      <c r="U6" s="51">
        <f>U30-U88</f>
        <v>80162.77563090355</v>
      </c>
      <c r="V6" s="51">
        <f>V30-V88</f>
        <v>80141.38705360005</v>
      </c>
      <c r="W6" s="51">
        <f>W30-W88</f>
        <v>117155.0730257835</v>
      </c>
      <c r="X6" s="51">
        <f>X30-X88</f>
        <v>78255.83274438611</v>
      </c>
      <c r="Y6" s="51">
        <f>Y30-Y88</f>
        <v>74153.77563090355</v>
      </c>
      <c r="Z6" s="51">
        <f>SUMIF($B$13:$Y$13,"Yes",B6:Y6)</f>
        <v>954863.5159986203</v>
      </c>
      <c r="AA6" s="51">
        <f>AA30-AA88</f>
        <v>873800.7403677163</v>
      </c>
      <c r="AB6" s="51">
        <f>AB30-AB88</f>
        <v>1892899.814068766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36741</v>
      </c>
      <c r="G7" s="80">
        <f>IF(ISERROR(VLOOKUP(MONTH(G5),Inputs!$D$66:$D$71,1,0)),"",INDEX(Inputs!$B$66:$B$71,MATCH(MONTH(Output!G5),Inputs!$D$66:$D$71,0))-INDEX(Inputs!$C$66:$C$71,MATCH(MONTH(Output!G5),Inputs!$D$66:$D$71,0)))</f>
        <v>30110</v>
      </c>
      <c r="H7" s="80">
        <f>IF(ISERROR(VLOOKUP(MONTH(H5),Inputs!$D$66:$D$71,1,0)),"",INDEX(Inputs!$B$66:$B$71,MATCH(MONTH(Output!H5),Inputs!$D$66:$D$71,0))-INDEX(Inputs!$C$66:$C$71,MATCH(MONTH(Output!H5),Inputs!$D$66:$D$71,0)))</f>
        <v>33060</v>
      </c>
      <c r="I7" s="80">
        <f>IF(ISERROR(VLOOKUP(MONTH(I5),Inputs!$D$66:$D$71,1,0)),"",INDEX(Inputs!$B$66:$B$71,MATCH(MONTH(Output!I5),Inputs!$D$66:$D$71,0))-INDEX(Inputs!$C$66:$C$71,MATCH(MONTH(Output!I5),Inputs!$D$66:$D$71,0)))</f>
        <v>42590</v>
      </c>
      <c r="J7" s="80">
        <f>IF(ISERROR(VLOOKUP(MONTH(J5),Inputs!$D$66:$D$71,1,0)),"",INDEX(Inputs!$B$66:$B$71,MATCH(MONTH(Output!J5),Inputs!$D$66:$D$71,0))-INDEX(Inputs!$C$66:$C$71,MATCH(MONTH(Output!J5),Inputs!$D$66:$D$71,0)))</f>
        <v>18370</v>
      </c>
      <c r="K7" s="80">
        <f>IF(ISERROR(VLOOKUP(MONTH(K5),Inputs!$D$66:$D$71,1,0)),"",INDEX(Inputs!$B$66:$B$71,MATCH(MONTH(Output!K5),Inputs!$D$66:$D$71,0))-INDEX(Inputs!$C$66:$C$71,MATCH(MONTH(Output!K5),Inputs!$D$66:$D$71,0)))</f>
        <v>13237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36741</v>
      </c>
      <c r="S7" s="80">
        <f>IF(ISERROR(VLOOKUP(MONTH(S5),Inputs!$D$66:$D$71,1,0)),"",INDEX(Inputs!$B$66:$B$71,MATCH(MONTH(Output!S5),Inputs!$D$66:$D$71,0))-INDEX(Inputs!$C$66:$C$71,MATCH(MONTH(Output!S5),Inputs!$D$66:$D$71,0)))</f>
        <v>30110</v>
      </c>
      <c r="T7" s="80">
        <f>IF(ISERROR(VLOOKUP(MONTH(T5),Inputs!$D$66:$D$71,1,0)),"",INDEX(Inputs!$B$66:$B$71,MATCH(MONTH(Output!T5),Inputs!$D$66:$D$71,0))-INDEX(Inputs!$C$66:$C$71,MATCH(MONTH(Output!T5),Inputs!$D$66:$D$71,0)))</f>
        <v>33060</v>
      </c>
      <c r="U7" s="80">
        <f>IF(ISERROR(VLOOKUP(MONTH(U5),Inputs!$D$66:$D$71,1,0)),"",INDEX(Inputs!$B$66:$B$71,MATCH(MONTH(Output!U5),Inputs!$D$66:$D$71,0))-INDEX(Inputs!$C$66:$C$71,MATCH(MONTH(Output!U5),Inputs!$D$66:$D$71,0)))</f>
        <v>42590</v>
      </c>
      <c r="V7" s="80">
        <f>IF(ISERROR(VLOOKUP(MONTH(V5),Inputs!$D$66:$D$71,1,0)),"",INDEX(Inputs!$B$66:$B$71,MATCH(MONTH(Output!V5),Inputs!$D$66:$D$71,0))-INDEX(Inputs!$C$66:$C$71,MATCH(MONTH(Output!V5),Inputs!$D$66:$D$71,0)))</f>
        <v>18370</v>
      </c>
      <c r="W7" s="80">
        <f>IF(ISERROR(VLOOKUP(MONTH(W5),Inputs!$D$66:$D$71,1,0)),"",INDEX(Inputs!$B$66:$B$71,MATCH(MONTH(Output!W5),Inputs!$D$66:$D$71,0))-INDEX(Inputs!$C$66:$C$71,MATCH(MONTH(Output!W5),Inputs!$D$66:$D$71,0)))</f>
        <v>13237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135764.4422975702</v>
      </c>
      <c r="C11" s="80">
        <f>C6+C9-C10</f>
        <v>57398.60989899308</v>
      </c>
      <c r="D11" s="80">
        <f>D6+D9-D10</f>
        <v>56455.83274438611</v>
      </c>
      <c r="E11" s="80">
        <f>E6+E9-E10</f>
        <v>97155.07302578347</v>
      </c>
      <c r="F11" s="80">
        <f>F6+F9-F10</f>
        <v>61941.38705360005</v>
      </c>
      <c r="G11" s="80">
        <f>G6+G9-G10</f>
        <v>54153.77563090355</v>
      </c>
      <c r="H11" s="80">
        <f>H6+H9-H10</f>
        <v>61062.77563090355</v>
      </c>
      <c r="I11" s="80">
        <f>I6+I9-I10</f>
        <v>60162.77563090355</v>
      </c>
      <c r="J11" s="80">
        <f>J6+J9-J10</f>
        <v>60141.38705360005</v>
      </c>
      <c r="K11" s="80">
        <f>K6+K9-K10</f>
        <v>97155.07302578347</v>
      </c>
      <c r="L11" s="80">
        <f>L6+L9-L10</f>
        <v>58255.83274438611</v>
      </c>
      <c r="M11" s="80">
        <f>M6+M9-M10</f>
        <v>54153.77563090355</v>
      </c>
      <c r="N11" s="80">
        <f>N6+N9-N10</f>
        <v>61062.77563090355</v>
      </c>
      <c r="O11" s="80">
        <f>O6+O9-O10</f>
        <v>77398.60989899308</v>
      </c>
      <c r="P11" s="80">
        <f>P6+P9-P10</f>
        <v>76455.83274438611</v>
      </c>
      <c r="Q11" s="80">
        <f>Q6+Q9-Q10</f>
        <v>117155.0730257835</v>
      </c>
      <c r="R11" s="80">
        <f>R6+R9-R10</f>
        <v>81941.38705360005</v>
      </c>
      <c r="S11" s="80">
        <f>S6+S9-S10</f>
        <v>74153.77563090355</v>
      </c>
      <c r="T11" s="80">
        <f>T6+T9-T10</f>
        <v>81062.77563090355</v>
      </c>
      <c r="U11" s="80">
        <f>U6+U9-U10</f>
        <v>80162.77563090355</v>
      </c>
      <c r="V11" s="80">
        <f>V6+V9-V10</f>
        <v>80141.38705360005</v>
      </c>
      <c r="W11" s="80">
        <f>W6+W9-W10</f>
        <v>117155.0730257835</v>
      </c>
      <c r="X11" s="80">
        <f>X6+X9-X10</f>
        <v>78255.83274438611</v>
      </c>
      <c r="Y11" s="80">
        <f>Y6+Y9-Y10</f>
        <v>74153.77563090355</v>
      </c>
      <c r="Z11" s="85">
        <f>SUMIF($B$13:$Y$13,"Yes",B11:Y11)</f>
        <v>914863.5159986203</v>
      </c>
      <c r="AA11" s="80">
        <f>SUM(B11:M11)</f>
        <v>853800.7403677168</v>
      </c>
      <c r="AB11" s="46">
        <f>SUM(B11:Y11)</f>
        <v>1852899.814068766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0.09382489035462614</v>
      </c>
      <c r="D12" s="82">
        <f>IF(D13="Yes",IF(SUM($B$10:D10)/(SUM($B$6:D6)+SUM($B$9:D9))&lt;0,999.99,SUM($B$10:D10)/(SUM($B$6:D6)+SUM($B$9:D9))),"")</f>
        <v>0.1381125405829652</v>
      </c>
      <c r="E12" s="82">
        <f>IF(E13="Yes",IF(SUM($B$10:E10)/(SUM($B$6:E6)+SUM($B$9:E9))&lt;0,999.99,SUM($B$10:E10)/(SUM($B$6:E6)+SUM($B$9:E9))),"")</f>
        <v>0.1475020679787642</v>
      </c>
      <c r="F12" s="82">
        <f>IF(F13="Yes",IF(SUM($B$10:F10)/(SUM($B$6:F6)+SUM($B$9:F9))&lt;0,999.99,SUM($B$10:F10)/(SUM($B$6:F6)+SUM($B$9:F9))),"")</f>
        <v>0.1636944712605077</v>
      </c>
      <c r="G12" s="82">
        <f>IF(G13="Yes",IF(SUM($B$10:G10)/(SUM($B$6:G6)+SUM($B$9:G9))&lt;0,999.99,SUM($B$10:G10)/(SUM($B$6:G6)+SUM($B$9:G9))),"")</f>
        <v>0.1776611939278185</v>
      </c>
      <c r="H12" s="82">
        <f>IF(H13="Yes",IF(SUM($B$10:H10)/(SUM($B$6:H6)+SUM($B$9:H9))&lt;0,999.99,SUM($B$10:H10)/(SUM($B$6:H6)+SUM($B$9:H9))),"")</f>
        <v>0.1863551109874231</v>
      </c>
      <c r="I12" s="82">
        <f>IF(I13="Yes",IF(SUM($B$10:I10)/(SUM($B$6:I6)+SUM($B$9:I9))&lt;0,999.99,SUM($B$10:I10)/(SUM($B$6:I6)+SUM($B$9:I9))),"")</f>
        <v>0.1933448835220991</v>
      </c>
      <c r="J12" s="82">
        <f>IF(J13="Yes",IF(SUM($B$10:J10)/(SUM($B$6:J6)+SUM($B$9:J9))&lt;0,999.99,SUM($B$10:J10)/(SUM($B$6:J6)+SUM($B$9:J9))),"")</f>
        <v>0.1989465632834005</v>
      </c>
      <c r="K12" s="82">
        <f>IF(K13="Yes",IF(SUM($B$10:K10)/(SUM($B$6:K6)+SUM($B$9:K9))&lt;0,999.99,SUM($B$10:K10)/(SUM($B$6:K6)+SUM($B$9:K9))),"")</f>
        <v>0.1953567749352719</v>
      </c>
      <c r="L12" s="82">
        <f>IF(L13="Yes",IF(SUM($B$10:L10)/(SUM($B$6:L6)+SUM($B$9:L9))&lt;0,999.99,SUM($B$10:L10)/(SUM($B$6:L6)+SUM($B$9:L9))),"")</f>
        <v>0.2000706319882199</v>
      </c>
      <c r="M12" s="82">
        <f>IF(M13="Yes",IF(SUM($B$10:M10)/(SUM($B$6:M6)+SUM($B$9:M9))&lt;0,999.99,SUM($B$10:M10)/(SUM($B$6:M6)+SUM($B$9:M9))),"")</f>
        <v>0.2048797246355616</v>
      </c>
      <c r="N12" s="82">
        <f>IF(N13="Yes",IF(SUM($B$10:N10)/(SUM($B$6:N6)+SUM($B$9:N9))&lt;0,999.99,SUM($B$10:N10)/(SUM($B$6:N6)+SUM($B$9:N9))),"")</f>
        <v>0.2078167650767545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4606.942886517428</v>
      </c>
      <c r="C18" s="36">
        <f>O18</f>
        <v>1842.777154606971</v>
      </c>
      <c r="D18" s="36">
        <f>P18</f>
        <v>0</v>
      </c>
      <c r="E18" s="36">
        <f>Q18</f>
        <v>1842.777154606971</v>
      </c>
      <c r="F18" s="36">
        <f>R18</f>
        <v>3685.554309213941</v>
      </c>
      <c r="G18" s="36">
        <f>S18</f>
        <v>4606.942886517428</v>
      </c>
      <c r="H18" s="36">
        <f>T18</f>
        <v>4606.942886517428</v>
      </c>
      <c r="I18" s="36">
        <f>U18</f>
        <v>4606.942886517428</v>
      </c>
      <c r="J18" s="36">
        <f>V18</f>
        <v>3685.554309213941</v>
      </c>
      <c r="K18" s="36">
        <f>W18</f>
        <v>1842.777154606971</v>
      </c>
      <c r="L18" s="36">
        <f>X18</f>
        <v>0</v>
      </c>
      <c r="M18" s="36">
        <f>Y18</f>
        <v>4606.942886517428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4606.942886517428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1842.777154606971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1842.777154606971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3685.554309213941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4606.942886517428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4606.942886517428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4606.942886517428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3685.554309213941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1842.777154606971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4606.942886517428</v>
      </c>
      <c r="Z18" s="36">
        <f>SUMIF($B$13:$Y$13,"Yes",B18:Y18)</f>
        <v>40541.09740135336</v>
      </c>
      <c r="AA18" s="36">
        <f>SUM(B18:M18)</f>
        <v>35934.15451483593</v>
      </c>
      <c r="AB18" s="36">
        <f>SUM(B18:Y18)</f>
        <v>71868.30902967186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32966.19795</v>
      </c>
      <c r="C19" s="36">
        <f>O19</f>
        <v>32966.19795</v>
      </c>
      <c r="D19" s="36">
        <f>P19</f>
        <v>32966.19795</v>
      </c>
      <c r="E19" s="36">
        <f>Q19</f>
        <v>32966.19795</v>
      </c>
      <c r="F19" s="36">
        <f>R19</f>
        <v>32966.19795</v>
      </c>
      <c r="G19" s="36">
        <f>S19</f>
        <v>32966.19795</v>
      </c>
      <c r="H19" s="36">
        <f>T19</f>
        <v>32966.19795</v>
      </c>
      <c r="I19" s="36">
        <f>U19</f>
        <v>32966.19795</v>
      </c>
      <c r="J19" s="36">
        <f>V19</f>
        <v>32966.19795</v>
      </c>
      <c r="K19" s="36">
        <f>W19</f>
        <v>32966.19795</v>
      </c>
      <c r="L19" s="36">
        <f>X19</f>
        <v>32966.19795</v>
      </c>
      <c r="M19" s="36">
        <f>Y19</f>
        <v>32966.19795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32966.19795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32966.19795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32966.19795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32966.19795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32966.19795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32966.19795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32966.19795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32966.19795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32966.19795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32966.19795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32966.19795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32966.19795</v>
      </c>
      <c r="Z19" s="36">
        <f>SUMIF($B$13:$Y$13,"Yes",B19:Y19)</f>
        <v>428560.57335</v>
      </c>
      <c r="AA19" s="36">
        <f>SUM(B19:M19)</f>
        <v>395594.3754</v>
      </c>
      <c r="AB19" s="36">
        <f>SUM(B19:Y19)</f>
        <v>791188.7507999996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38856.4631267904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38856.4631267904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38856.4631267904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38856.4631267904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77712.92625358079</v>
      </c>
      <c r="AA20" s="36">
        <f>SUM(B20:M20)</f>
        <v>77712.92625358079</v>
      </c>
      <c r="AB20" s="36">
        <f>SUM(B20:Y20)</f>
        <v>155425.8525071616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533812.5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975000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153635.6408365174</v>
      </c>
      <c r="C30" s="19">
        <f>SUM(C18:C29)</f>
        <v>150871.475104607</v>
      </c>
      <c r="D30" s="19">
        <f>SUM(D18:D29)</f>
        <v>149028.69795</v>
      </c>
      <c r="E30" s="19">
        <f>SUM(E18:E29)</f>
        <v>189727.9382313974</v>
      </c>
      <c r="F30" s="19">
        <f>SUM(F18:F29)</f>
        <v>152714.2522592139</v>
      </c>
      <c r="G30" s="19">
        <f>SUM(G18:G29)</f>
        <v>153635.6408365174</v>
      </c>
      <c r="H30" s="19">
        <f>SUM(H18:H29)</f>
        <v>153635.6408365174</v>
      </c>
      <c r="I30" s="19">
        <f>SUM(I18:I29)</f>
        <v>153635.6408365174</v>
      </c>
      <c r="J30" s="19">
        <f>SUM(J18:J29)</f>
        <v>152714.2522592139</v>
      </c>
      <c r="K30" s="19">
        <f>SUM(K18:K29)</f>
        <v>189727.9382313974</v>
      </c>
      <c r="L30" s="19">
        <f>SUM(L18:L29)</f>
        <v>149028.69795</v>
      </c>
      <c r="M30" s="19">
        <f>SUM(M18:M29)</f>
        <v>153635.6408365174</v>
      </c>
      <c r="N30" s="19">
        <f>SUM(N18:N29)</f>
        <v>153635.6408365174</v>
      </c>
      <c r="O30" s="19">
        <f>SUM(O18:O29)</f>
        <v>150871.475104607</v>
      </c>
      <c r="P30" s="19">
        <f>SUM(P18:P29)</f>
        <v>149028.69795</v>
      </c>
      <c r="Q30" s="19">
        <f>SUM(Q18:Q29)</f>
        <v>189727.9382313974</v>
      </c>
      <c r="R30" s="19">
        <f>SUM(R18:R29)</f>
        <v>152714.2522592139</v>
      </c>
      <c r="S30" s="19">
        <f>SUM(S18:S29)</f>
        <v>153635.6408365174</v>
      </c>
      <c r="T30" s="19">
        <f>SUM(T18:T29)</f>
        <v>153635.6408365174</v>
      </c>
      <c r="U30" s="19">
        <f>SUM(U18:U29)</f>
        <v>153635.6408365174</v>
      </c>
      <c r="V30" s="19">
        <f>SUM(V18:V29)</f>
        <v>152714.2522592139</v>
      </c>
      <c r="W30" s="19">
        <f>SUM(W18:W29)</f>
        <v>189727.9382313974</v>
      </c>
      <c r="X30" s="19">
        <f>SUM(X18:X29)</f>
        <v>149028.69795</v>
      </c>
      <c r="Y30" s="19">
        <f>SUM(Y18:Y29)</f>
        <v>153635.6408365174</v>
      </c>
      <c r="Z30" s="19">
        <f>SUMIF($B$13:$Y$13,"Yes",B30:Y30)</f>
        <v>2055627.097004934</v>
      </c>
      <c r="AA30" s="19">
        <f>SUM(B30:M30)</f>
        <v>1901991.456168416</v>
      </c>
      <c r="AB30" s="19">
        <f>SUM(B30:Y30)</f>
        <v>3803982.912336833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500</v>
      </c>
      <c r="G36" s="36">
        <f>S36</f>
        <v>6500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6500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500</v>
      </c>
      <c r="S36" s="36">
        <f>SUM(S37:S41)</f>
        <v>6500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6500</v>
      </c>
      <c r="Z36" s="36">
        <f>SUMIF($B$13:$Y$13,"Yes",B36:Y36)</f>
        <v>18500</v>
      </c>
      <c r="AA36" s="36">
        <f>SUM(B36:M36)</f>
        <v>18000</v>
      </c>
      <c r="AB36" s="36">
        <f>SUM(B36:Y36)</f>
        <v>36000</v>
      </c>
      <c r="AC36" s="73"/>
    </row>
    <row r="37" spans="1:30" hidden="true" outlineLevel="1">
      <c r="A37" s="181" t="str">
        <f>Calculations!$A$4</f>
        <v>Coffee</v>
      </c>
      <c r="B37" s="36">
        <f>N37</f>
        <v>500</v>
      </c>
      <c r="C37" s="36">
        <f>O37</f>
        <v>500</v>
      </c>
      <c r="D37" s="36">
        <f>P37</f>
        <v>500</v>
      </c>
      <c r="E37" s="36">
        <f>Q37</f>
        <v>500</v>
      </c>
      <c r="F37" s="36">
        <f>R37</f>
        <v>500</v>
      </c>
      <c r="G37" s="36">
        <f>S37</f>
        <v>500</v>
      </c>
      <c r="H37" s="36">
        <f>T37</f>
        <v>500</v>
      </c>
      <c r="I37" s="36">
        <f>U37</f>
        <v>500</v>
      </c>
      <c r="J37" s="36">
        <f>V37</f>
        <v>500</v>
      </c>
      <c r="K37" s="36">
        <f>W37</f>
        <v>500</v>
      </c>
      <c r="L37" s="36">
        <f>X37</f>
        <v>500</v>
      </c>
      <c r="M37" s="36">
        <f>Y37</f>
        <v>500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500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500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500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500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500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500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500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500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500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500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500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500</v>
      </c>
      <c r="Z37" s="36">
        <f>SUMIF($B$13:$Y$13,"Yes",B37:Y37)</f>
        <v>6500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6000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6000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6000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6000</v>
      </c>
      <c r="Z39" s="36">
        <f>SUMIF($B$13:$Y$13,"Yes",B39:Y39)</f>
        <v>12000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909.0000000000002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909.0000000000002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909.0000000000002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909.0000000000002</v>
      </c>
      <c r="Z42" s="36">
        <f>SUMIF($B$13:$Y$13,"Yes",B42:Y42)</f>
        <v>1818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909.0000000000002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909.0000000000002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909.0000000000002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909.0000000000002</v>
      </c>
      <c r="Z45" s="36">
        <f>SUMIF($B$13:$Y$13,"Yes",B45:Y45)</f>
        <v>1818</v>
      </c>
      <c r="AA45" s="36">
        <f>SUM(B45:M45)</f>
        <v>1818</v>
      </c>
      <c r="AB45" s="36">
        <f>SUM(B45:Y45)</f>
        <v>3636.000000000001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900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900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</v>
      </c>
      <c r="AA48" s="46">
        <f>SUM(B48:M48)</f>
        <v>1800</v>
      </c>
      <c r="AB48" s="46">
        <f>SUM(B48:Y48)</f>
        <v>3600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900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900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900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900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</v>
      </c>
      <c r="AA51" s="46">
        <f>SUM(B51:M51)</f>
        <v>1800</v>
      </c>
      <c r="AB51" s="46">
        <f>SUM(B51:Y51)</f>
        <v>3600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4143.75</v>
      </c>
      <c r="C66" s="36">
        <f>O66</f>
        <v>4143.75</v>
      </c>
      <c r="D66" s="36">
        <f>P66</f>
        <v>4143.75</v>
      </c>
      <c r="E66" s="36">
        <f>Q66</f>
        <v>4143.75</v>
      </c>
      <c r="F66" s="36">
        <f>R66</f>
        <v>2343.75</v>
      </c>
      <c r="G66" s="36">
        <f>S66</f>
        <v>4143.75</v>
      </c>
      <c r="H66" s="36">
        <f>T66</f>
        <v>4143.75</v>
      </c>
      <c r="I66" s="36">
        <f>U66</f>
        <v>4143.75</v>
      </c>
      <c r="J66" s="36">
        <f>V66</f>
        <v>4143.75</v>
      </c>
      <c r="K66" s="36">
        <f>W66</f>
        <v>4143.75</v>
      </c>
      <c r="L66" s="36">
        <f>X66</f>
        <v>2343.75</v>
      </c>
      <c r="M66" s="36">
        <f>Y66</f>
        <v>4143.75</v>
      </c>
      <c r="N66" s="46">
        <f>SUM(N67:N71)</f>
        <v>4143.75</v>
      </c>
      <c r="O66" s="46">
        <f>SUM(O67:O71)</f>
        <v>4143.75</v>
      </c>
      <c r="P66" s="46">
        <f>SUM(P67:P71)</f>
        <v>4143.75</v>
      </c>
      <c r="Q66" s="46">
        <f>SUM(Q67:Q71)</f>
        <v>4143.75</v>
      </c>
      <c r="R66" s="46">
        <f>SUM(R67:R71)</f>
        <v>2343.75</v>
      </c>
      <c r="S66" s="46">
        <f>SUM(S67:S71)</f>
        <v>4143.75</v>
      </c>
      <c r="T66" s="46">
        <f>SUM(T67:T71)</f>
        <v>4143.75</v>
      </c>
      <c r="U66" s="46">
        <f>SUM(U67:U71)</f>
        <v>4143.75</v>
      </c>
      <c r="V66" s="46">
        <f>SUM(V67:V71)</f>
        <v>4143.75</v>
      </c>
      <c r="W66" s="46">
        <f>SUM(W67:W71)</f>
        <v>4143.75</v>
      </c>
      <c r="X66" s="46">
        <f>SUM(X67:X71)</f>
        <v>2343.75</v>
      </c>
      <c r="Y66" s="46">
        <f>SUM(Y67:Y71)</f>
        <v>4143.75</v>
      </c>
      <c r="Z66" s="46">
        <f>SUMIF($B$13:$Y$13,"Yes",B66:Y66)</f>
        <v>50268.75</v>
      </c>
      <c r="AA66" s="46">
        <f>SUM(B66:M66)</f>
        <v>46125</v>
      </c>
      <c r="AB66" s="46">
        <f>SUM(B66:Y66)</f>
        <v>92250</v>
      </c>
    </row>
    <row r="67" spans="1:30" hidden="true" outlineLevel="1">
      <c r="A67" s="181" t="str">
        <f>Calculations!$A$4</f>
        <v>Coffee</v>
      </c>
      <c r="B67" s="36">
        <f>N67</f>
        <v>1562.5</v>
      </c>
      <c r="C67" s="36">
        <f>O67</f>
        <v>1562.5</v>
      </c>
      <c r="D67" s="36">
        <f>P67</f>
        <v>1562.5</v>
      </c>
      <c r="E67" s="36">
        <f>Q67</f>
        <v>1562.5</v>
      </c>
      <c r="F67" s="36">
        <f>R67</f>
        <v>1562.5</v>
      </c>
      <c r="G67" s="36">
        <f>S67</f>
        <v>1562.5</v>
      </c>
      <c r="H67" s="36">
        <f>T67</f>
        <v>1562.5</v>
      </c>
      <c r="I67" s="36">
        <f>U67</f>
        <v>1562.5</v>
      </c>
      <c r="J67" s="36">
        <f>V67</f>
        <v>1562.5</v>
      </c>
      <c r="K67" s="36">
        <f>W67</f>
        <v>1562.5</v>
      </c>
      <c r="L67" s="36">
        <f>X67</f>
        <v>1562.5</v>
      </c>
      <c r="M67" s="36">
        <f>Y67</f>
        <v>1562.5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1562.5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1562.5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1562.5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1562.5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1562.5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1562.5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1562.5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1562.5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1562.5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1562.5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1562.5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1562.5</v>
      </c>
      <c r="Z67" s="46">
        <f>SUMIF($B$13:$Y$13,"Yes",B67:Y67)</f>
        <v>20312.5</v>
      </c>
      <c r="AA67" s="46">
        <f>SUM(B67:M67)</f>
        <v>18750</v>
      </c>
      <c r="AB67" s="46">
        <f>SUM(B67:Y67)</f>
        <v>37500</v>
      </c>
    </row>
    <row r="68" spans="1:30" hidden="true" outlineLevel="1">
      <c r="A68" s="181" t="str">
        <f>Calculations!$A$5</f>
        <v>Bananas</v>
      </c>
      <c r="B68" s="36">
        <f>N68</f>
        <v>781.25</v>
      </c>
      <c r="C68" s="36">
        <f>O68</f>
        <v>781.25</v>
      </c>
      <c r="D68" s="36">
        <f>P68</f>
        <v>781.25</v>
      </c>
      <c r="E68" s="36">
        <f>Q68</f>
        <v>781.25</v>
      </c>
      <c r="F68" s="36">
        <f>R68</f>
        <v>781.25</v>
      </c>
      <c r="G68" s="36">
        <f>S68</f>
        <v>781.25</v>
      </c>
      <c r="H68" s="36">
        <f>T68</f>
        <v>781.25</v>
      </c>
      <c r="I68" s="36">
        <f>U68</f>
        <v>781.25</v>
      </c>
      <c r="J68" s="36">
        <f>V68</f>
        <v>781.25</v>
      </c>
      <c r="K68" s="36">
        <f>W68</f>
        <v>781.25</v>
      </c>
      <c r="L68" s="36">
        <f>X68</f>
        <v>781.25</v>
      </c>
      <c r="M68" s="36">
        <f>Y68</f>
        <v>781.25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781.25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781.25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781.25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781.25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781.25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781.25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781.25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781.25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781.25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781.25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781.25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781.25</v>
      </c>
      <c r="Z68" s="46">
        <f>SUMIF($B$13:$Y$13,"Yes",B68:Y68)</f>
        <v>10156.25</v>
      </c>
      <c r="AA68" s="46">
        <f>SUM(B68:M68)</f>
        <v>9375</v>
      </c>
      <c r="AB68" s="46">
        <f>SUM(B68:Y68)</f>
        <v>18750</v>
      </c>
    </row>
    <row r="69" spans="1:30" hidden="true" outlineLevel="1">
      <c r="A69" s="181" t="str">
        <f>Calculations!$A$6</f>
        <v>Maize</v>
      </c>
      <c r="B69" s="36">
        <f>N69</f>
        <v>1800</v>
      </c>
      <c r="C69" s="36">
        <f>O69</f>
        <v>1800</v>
      </c>
      <c r="D69" s="36">
        <f>P69</f>
        <v>1800</v>
      </c>
      <c r="E69" s="36">
        <f>Q69</f>
        <v>1800</v>
      </c>
      <c r="F69" s="36">
        <f>R69</f>
        <v>0</v>
      </c>
      <c r="G69" s="36">
        <f>S69</f>
        <v>1800</v>
      </c>
      <c r="H69" s="36">
        <f>T69</f>
        <v>1800</v>
      </c>
      <c r="I69" s="36">
        <f>U69</f>
        <v>1800</v>
      </c>
      <c r="J69" s="36">
        <f>V69</f>
        <v>1800</v>
      </c>
      <c r="K69" s="36">
        <f>W69</f>
        <v>1800</v>
      </c>
      <c r="L69" s="36">
        <f>X69</f>
        <v>0</v>
      </c>
      <c r="M69" s="36">
        <f>Y69</f>
        <v>1800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1800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1800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1800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1800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1800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1800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1800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1800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1800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1800</v>
      </c>
      <c r="Z69" s="46">
        <f>SUMIF($B$13:$Y$13,"Yes",B69:Y69)</f>
        <v>19800</v>
      </c>
      <c r="AA69" s="46">
        <f>SUM(B69:M69)</f>
        <v>18000</v>
      </c>
      <c r="AB69" s="46">
        <f>SUM(B69:Y69)</f>
        <v>36000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56616.6152056139</v>
      </c>
      <c r="C81" s="46">
        <f>(SUM($AA$18:$AA$29)-SUM($AA$36,$AA$42,$AA$48,$AA$54,$AA$60,$AA$66,$AA$72:$AA$79))*Parameters!$B$37/12</f>
        <v>56616.6152056139</v>
      </c>
      <c r="D81" s="46">
        <f>(SUM($AA$18:$AA$29)-SUM($AA$36,$AA$42,$AA$48,$AA$54,$AA$60,$AA$66,$AA$72:$AA$79))*Parameters!$B$37/12</f>
        <v>56616.6152056139</v>
      </c>
      <c r="E81" s="46">
        <f>(SUM($AA$18:$AA$29)-SUM($AA$36,$AA$42,$AA$48,$AA$54,$AA$60,$AA$66,$AA$72:$AA$79))*Parameters!$B$37/12</f>
        <v>56616.6152056139</v>
      </c>
      <c r="F81" s="46">
        <f>(SUM($AA$18:$AA$29)-SUM($AA$36,$AA$42,$AA$48,$AA$54,$AA$60,$AA$66,$AA$72:$AA$79))*Parameters!$B$37/12</f>
        <v>56616.6152056139</v>
      </c>
      <c r="G81" s="46">
        <f>(SUM($AA$18:$AA$29)-SUM($AA$36,$AA$42,$AA$48,$AA$54,$AA$60,$AA$66,$AA$72:$AA$79))*Parameters!$B$37/12</f>
        <v>56616.6152056139</v>
      </c>
      <c r="H81" s="46">
        <f>(SUM($AA$18:$AA$29)-SUM($AA$36,$AA$42,$AA$48,$AA$54,$AA$60,$AA$66,$AA$72:$AA$79))*Parameters!$B$37/12</f>
        <v>56616.6152056139</v>
      </c>
      <c r="I81" s="46">
        <f>(SUM($AA$18:$AA$29)-SUM($AA$36,$AA$42,$AA$48,$AA$54,$AA$60,$AA$66,$AA$72:$AA$79))*Parameters!$B$37/12</f>
        <v>56616.6152056139</v>
      </c>
      <c r="J81" s="46">
        <f>(SUM($AA$18:$AA$29)-SUM($AA$36,$AA$42,$AA$48,$AA$54,$AA$60,$AA$66,$AA$72:$AA$79))*Parameters!$B$37/12</f>
        <v>56616.6152056139</v>
      </c>
      <c r="K81" s="46">
        <f>(SUM($AA$18:$AA$29)-SUM($AA$36,$AA$42,$AA$48,$AA$54,$AA$60,$AA$66,$AA$72:$AA$79))*Parameters!$B$37/12</f>
        <v>56616.6152056139</v>
      </c>
      <c r="L81" s="46">
        <f>(SUM($AA$18:$AA$29)-SUM($AA$36,$AA$42,$AA$48,$AA$54,$AA$60,$AA$66,$AA$72:$AA$79))*Parameters!$B$37/12</f>
        <v>56616.6152056139</v>
      </c>
      <c r="M81" s="46">
        <f>(SUM($AA$18:$AA$29)-SUM($AA$36,$AA$42,$AA$48,$AA$54,$AA$60,$AA$66,$AA$72:$AA$79))*Parameters!$B$37/12</f>
        <v>56616.6152056139</v>
      </c>
      <c r="N81" s="46">
        <f>(SUM($AA$18:$AA$29)-SUM($AA$36,$AA$42,$AA$48,$AA$54,$AA$60,$AA$66,$AA$72:$AA$79))*Parameters!$B$37/12</f>
        <v>56616.6152056139</v>
      </c>
      <c r="O81" s="46">
        <f>(SUM($AA$18:$AA$29)-SUM($AA$36,$AA$42,$AA$48,$AA$54,$AA$60,$AA$66,$AA$72:$AA$79))*Parameters!$B$37/12</f>
        <v>56616.6152056139</v>
      </c>
      <c r="P81" s="46">
        <f>(SUM($AA$18:$AA$29)-SUM($AA$36,$AA$42,$AA$48,$AA$54,$AA$60,$AA$66,$AA$72:$AA$79))*Parameters!$B$37/12</f>
        <v>56616.6152056139</v>
      </c>
      <c r="Q81" s="46">
        <f>(SUM($AA$18:$AA$29)-SUM($AA$36,$AA$42,$AA$48,$AA$54,$AA$60,$AA$66,$AA$72:$AA$79))*Parameters!$B$37/12</f>
        <v>56616.6152056139</v>
      </c>
      <c r="R81" s="46">
        <f>(SUM($AA$18:$AA$29)-SUM($AA$36,$AA$42,$AA$48,$AA$54,$AA$60,$AA$66,$AA$72:$AA$79))*Parameters!$B$37/12</f>
        <v>56616.6152056139</v>
      </c>
      <c r="S81" s="46">
        <f>(SUM($AA$18:$AA$29)-SUM($AA$36,$AA$42,$AA$48,$AA$54,$AA$60,$AA$66,$AA$72:$AA$79))*Parameters!$B$37/12</f>
        <v>56616.6152056139</v>
      </c>
      <c r="T81" s="46">
        <f>(SUM($AA$18:$AA$29)-SUM($AA$36,$AA$42,$AA$48,$AA$54,$AA$60,$AA$66,$AA$72:$AA$79))*Parameters!$B$37/12</f>
        <v>56616.6152056139</v>
      </c>
      <c r="U81" s="46">
        <f>(SUM($AA$18:$AA$29)-SUM($AA$36,$AA$42,$AA$48,$AA$54,$AA$60,$AA$66,$AA$72:$AA$79))*Parameters!$B$37/12</f>
        <v>56616.6152056139</v>
      </c>
      <c r="V81" s="46">
        <f>(SUM($AA$18:$AA$29)-SUM($AA$36,$AA$42,$AA$48,$AA$54,$AA$60,$AA$66,$AA$72:$AA$79))*Parameters!$B$37/12</f>
        <v>56616.6152056139</v>
      </c>
      <c r="W81" s="46">
        <f>(SUM($AA$18:$AA$29)-SUM($AA$36,$AA$42,$AA$48,$AA$54,$AA$60,$AA$66,$AA$72:$AA$79))*Parameters!$B$37/12</f>
        <v>56616.6152056139</v>
      </c>
      <c r="X81" s="46">
        <f>(SUM($AA$18:$AA$29)-SUM($AA$36,$AA$42,$AA$48,$AA$54,$AA$60,$AA$66,$AA$72:$AA$79))*Parameters!$B$37/12</f>
        <v>56616.6152056139</v>
      </c>
      <c r="Y81" s="46">
        <f>(SUM($AA$18:$AA$29)-SUM($AA$36,$AA$42,$AA$48,$AA$54,$AA$60,$AA$66,$AA$72:$AA$79))*Parameters!$B$37/12</f>
        <v>56616.6152056139</v>
      </c>
      <c r="Z81" s="46">
        <f>SUMIF($B$13:$Y$13,"Yes",B81:Y81)</f>
        <v>736015.9976729807</v>
      </c>
      <c r="AA81" s="46">
        <f>SUM(B81:M81)</f>
        <v>679399.3824673668</v>
      </c>
      <c r="AB81" s="46">
        <f>SUM(B81:Y81)</f>
        <v>1358798.764934734</v>
      </c>
    </row>
    <row r="82" spans="1:30">
      <c r="A82" s="16" t="s">
        <v>52</v>
      </c>
      <c r="B82" s="46">
        <f>SUM(B83:B87)</f>
        <v>145298.3333333333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145298.3333333333</v>
      </c>
      <c r="AA82" s="46">
        <f>SUM(B82:M82)</f>
        <v>145298.3333333333</v>
      </c>
      <c r="AB82" s="46">
        <f>SUM(B82:Y82)</f>
        <v>145298.3333333333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145298.3333333333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145298.3333333333</v>
      </c>
      <c r="AA84" s="46">
        <f>SUM(B84:M84)</f>
        <v>145298.3333333333</v>
      </c>
      <c r="AB84" s="46">
        <f>SUM(B84:Y84)</f>
        <v>145298.3333333333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217871.1985389472</v>
      </c>
      <c r="C88" s="19">
        <f>SUM(C72:C82,C66,C60,C54,C48,C42,C36)</f>
        <v>73472.8652056139</v>
      </c>
      <c r="D88" s="19">
        <f>SUM(D72:D82,D66,D60,D54,D48,D42,D36)</f>
        <v>72572.8652056139</v>
      </c>
      <c r="E88" s="19">
        <f>SUM(E72:E82,E66,E60,E54,E48,E42,E36)</f>
        <v>72572.8652056139</v>
      </c>
      <c r="F88" s="19">
        <f>SUM(F72:F82,F66,F60,F54,F48,F42,F36)</f>
        <v>70772.8652056139</v>
      </c>
      <c r="G88" s="19">
        <f>SUM(G72:G82,G66,G60,G54,G48,G42,G36)</f>
        <v>79481.8652056139</v>
      </c>
      <c r="H88" s="19">
        <f>SUM(H72:H82,H66,H60,H54,H48,H42,H36)</f>
        <v>72572.8652056139</v>
      </c>
      <c r="I88" s="19">
        <f>SUM(I72:I82,I66,I60,I54,I48,I42,I36)</f>
        <v>73472.8652056139</v>
      </c>
      <c r="J88" s="19">
        <f>SUM(J72:J82,J66,J60,J54,J48,J42,J36)</f>
        <v>72572.8652056139</v>
      </c>
      <c r="K88" s="19">
        <f>SUM(K72:K82,K66,K60,K54,K48,K42,K36)</f>
        <v>72572.8652056139</v>
      </c>
      <c r="L88" s="19">
        <f>SUM(L72:L82,L66,L60,L54,L48,L42,L36)</f>
        <v>70772.8652056139</v>
      </c>
      <c r="M88" s="19">
        <f>SUM(M72:M82,M66,M60,M54,M48,M42,M36)</f>
        <v>79481.8652056139</v>
      </c>
      <c r="N88" s="19">
        <f>SUM(N72:N82,N66,N60,N54,N48,N42,N36)</f>
        <v>72572.8652056139</v>
      </c>
      <c r="O88" s="19">
        <f>SUM(O72:O82,O66,O60,O54,O48,O42,O36)</f>
        <v>73472.8652056139</v>
      </c>
      <c r="P88" s="19">
        <f>SUM(P72:P82,P66,P60,P54,P48,P42,P36)</f>
        <v>72572.8652056139</v>
      </c>
      <c r="Q88" s="19">
        <f>SUM(Q72:Q82,Q66,Q60,Q54,Q48,Q42,Q36)</f>
        <v>72572.8652056139</v>
      </c>
      <c r="R88" s="19">
        <f>SUM(R72:R82,R66,R60,R54,R48,R42,R36)</f>
        <v>70772.8652056139</v>
      </c>
      <c r="S88" s="19">
        <f>SUM(S72:S82,S66,S60,S54,S48,S42,S36)</f>
        <v>79481.8652056139</v>
      </c>
      <c r="T88" s="19">
        <f>SUM(T72:T82,T66,T60,T54,T48,T42,T36)</f>
        <v>72572.8652056139</v>
      </c>
      <c r="U88" s="19">
        <f>SUM(U72:U82,U66,U60,U54,U48,U42,U36)</f>
        <v>73472.8652056139</v>
      </c>
      <c r="V88" s="19">
        <f>SUM(V72:V82,V66,V60,V54,V48,V42,V36)</f>
        <v>72572.8652056139</v>
      </c>
      <c r="W88" s="19">
        <f>SUM(W72:W82,W66,W60,W54,W48,W42,W36)</f>
        <v>72572.8652056139</v>
      </c>
      <c r="X88" s="19">
        <f>SUM(X72:X82,X66,X60,X54,X48,X42,X36)</f>
        <v>70772.8652056139</v>
      </c>
      <c r="Y88" s="19">
        <f>SUM(Y72:Y82,Y66,Y60,Y54,Y48,Y42,Y36)</f>
        <v>79481.8652056139</v>
      </c>
      <c r="Z88" s="19">
        <f>SUMIF($B$13:$Y$13,"Yes",B88:Y88)</f>
        <v>1100763.581006314</v>
      </c>
      <c r="AA88" s="19">
        <f>SUM(B88:M88)</f>
        <v>1028190.7158007</v>
      </c>
      <c r="AB88" s="19">
        <f>SUM(B88:Y88)</f>
        <v>1911083.098268067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48375000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52485000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140000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97</v>
      </c>
      <c r="I8" s="147" t="s">
        <v>97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3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97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 t="s">
        <v>100</v>
      </c>
      <c r="B10" s="16"/>
      <c r="C10" s="143">
        <v>0</v>
      </c>
      <c r="D10" s="16">
        <v>0</v>
      </c>
      <c r="E10" s="147" t="s">
        <v>101</v>
      </c>
      <c r="F10" s="149" t="s">
        <v>91</v>
      </c>
      <c r="G10" s="147"/>
      <c r="H10" s="147" t="s">
        <v>92</v>
      </c>
      <c r="I10" s="147" t="s">
        <v>93</v>
      </c>
      <c r="J10" s="148" t="s">
        <v>102</v>
      </c>
      <c r="K10" s="138" t="s">
        <v>103</v>
      </c>
      <c r="L10" s="16">
        <v>0</v>
      </c>
      <c r="M10" s="165">
        <v>100</v>
      </c>
      <c r="N10" s="154">
        <v>0</v>
      </c>
    </row>
    <row r="11" spans="1:48">
      <c r="A11" s="144" t="s">
        <v>100</v>
      </c>
      <c r="B11" s="23"/>
      <c r="C11" s="144">
        <v>0</v>
      </c>
      <c r="D11" s="23"/>
      <c r="E11" s="150" t="s">
        <v>101</v>
      </c>
      <c r="F11" s="151" t="s">
        <v>91</v>
      </c>
      <c r="G11" s="150"/>
      <c r="H11" s="150" t="s">
        <v>92</v>
      </c>
      <c r="I11" s="150" t="s">
        <v>93</v>
      </c>
      <c r="J11" s="152" t="s">
        <v>102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118</v>
      </c>
      <c r="J19" s="145">
        <v>10</v>
      </c>
      <c r="K19" s="145"/>
      <c r="L19" s="25"/>
    </row>
    <row r="20" spans="1:48">
      <c r="A20" s="143" t="s">
        <v>119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120</v>
      </c>
      <c r="J20" s="147"/>
      <c r="K20" s="147"/>
      <c r="L20" s="30"/>
    </row>
    <row r="21" spans="1:48">
      <c r="A21" s="144" t="s">
        <v>119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120</v>
      </c>
      <c r="J21" s="150"/>
      <c r="K21" s="150"/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7">
        <v>50</v>
      </c>
    </row>
    <row r="27" spans="1:48">
      <c r="A27" s="14" t="s">
        <v>123</v>
      </c>
    </row>
    <row r="29" spans="1:48">
      <c r="A29" s="45" t="s">
        <v>124</v>
      </c>
      <c r="B29" s="156" t="s">
        <v>125</v>
      </c>
    </row>
    <row r="30" spans="1:48">
      <c r="A30" s="44" t="s">
        <v>126</v>
      </c>
      <c r="B30" s="157">
        <v>75000</v>
      </c>
    </row>
    <row r="31" spans="1:48">
      <c r="A31" s="5" t="s">
        <v>127</v>
      </c>
      <c r="B31" s="158">
        <v>5000</v>
      </c>
    </row>
    <row r="33" spans="1:48">
      <c r="A33" s="14" t="s">
        <v>128</v>
      </c>
    </row>
    <row r="34" spans="1:48">
      <c r="A34" s="10" t="s">
        <v>129</v>
      </c>
      <c r="B34" s="10" t="s">
        <v>130</v>
      </c>
      <c r="C34" s="10" t="s">
        <v>131</v>
      </c>
      <c r="D34" s="48" t="s">
        <v>132</v>
      </c>
    </row>
    <row r="35" spans="1:48">
      <c r="A35" s="142"/>
      <c r="B35" s="159">
        <v>0</v>
      </c>
      <c r="C35" s="145" t="s">
        <v>99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99</v>
      </c>
      <c r="D36" s="49">
        <f>IFERROR(VLOOKUP(C36,Parameters!$C$79:$D$90,2,0),"")</f>
        <v>12</v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/>
    </row>
    <row r="42" spans="1:48">
      <c r="A42" s="55" t="s">
        <v>136</v>
      </c>
      <c r="B42" s="139"/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>
        <v>3000000</v>
      </c>
    </row>
    <row r="46" spans="1:48" customHeight="1" ht="30">
      <c r="A46" s="57" t="s">
        <v>141</v>
      </c>
      <c r="B46" s="161">
        <v>200000</v>
      </c>
    </row>
    <row r="47" spans="1:48" customHeight="1" ht="30">
      <c r="A47" s="57" t="s">
        <v>142</v>
      </c>
      <c r="B47" s="161">
        <v>200000</v>
      </c>
    </row>
    <row r="48" spans="1:48" customHeight="1" ht="30">
      <c r="A48" s="57" t="s">
        <v>143</v>
      </c>
      <c r="B48" s="161">
        <v>50000</v>
      </c>
    </row>
    <row r="49" spans="1:48" customHeight="1" ht="30">
      <c r="A49" s="57" t="s">
        <v>144</v>
      </c>
      <c r="B49" s="161">
        <v>60000</v>
      </c>
    </row>
    <row r="50" spans="1:48">
      <c r="A50" s="43"/>
      <c r="B50" s="36"/>
    </row>
    <row r="51" spans="1:48">
      <c r="A51" s="58" t="s">
        <v>145</v>
      </c>
      <c r="B51" s="161">
        <v>5000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>
        <v>49000</v>
      </c>
      <c r="B56" s="159">
        <v>0</v>
      </c>
      <c r="C56" s="162" t="s">
        <v>153</v>
      </c>
      <c r="D56" s="163" t="s">
        <v>154</v>
      </c>
      <c r="E56" s="163" t="s">
        <v>92</v>
      </c>
      <c r="F56" s="163" t="s">
        <v>155</v>
      </c>
    </row>
    <row r="57" spans="1:48">
      <c r="A57" s="157">
        <v>289000</v>
      </c>
      <c r="B57" s="157">
        <v>140000</v>
      </c>
      <c r="C57" s="164" t="s">
        <v>153</v>
      </c>
      <c r="D57" s="165" t="s">
        <v>156</v>
      </c>
      <c r="E57" s="165" t="s">
        <v>92</v>
      </c>
      <c r="F57" s="165" t="s">
        <v>157</v>
      </c>
    </row>
    <row r="58" spans="1:48">
      <c r="A58" s="157">
        <v>0</v>
      </c>
      <c r="B58" s="157">
        <v>0</v>
      </c>
      <c r="C58" s="164" t="s">
        <v>153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153</v>
      </c>
      <c r="D60" s="167"/>
      <c r="E60" s="167" t="s">
        <v>92</v>
      </c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132</v>
      </c>
      <c r="B65" s="10" t="s">
        <v>159</v>
      </c>
      <c r="C65" s="10" t="s">
        <v>160</v>
      </c>
    </row>
    <row r="66" spans="1:48">
      <c r="A66" s="142" t="s">
        <v>161</v>
      </c>
      <c r="B66" s="159">
        <v>204451</v>
      </c>
      <c r="C66" s="163">
        <v>191214</v>
      </c>
      <c r="D66" s="49">
        <f>INDEX(Parameters!$D$79:$D$90,MATCH(Inputs!A66,Parameters!$C$79:$C$90,0))</f>
        <v>4</v>
      </c>
    </row>
    <row r="67" spans="1:48">
      <c r="A67" s="143" t="s">
        <v>162</v>
      </c>
      <c r="B67" s="157">
        <v>146510</v>
      </c>
      <c r="C67" s="165">
        <v>128140</v>
      </c>
      <c r="D67" s="49">
        <f>INDEX(Parameters!$D$79:$D$90,MATCH(Inputs!A67,Parameters!$C$79:$C$90,0))</f>
        <v>3</v>
      </c>
    </row>
    <row r="68" spans="1:48">
      <c r="A68" s="143" t="s">
        <v>163</v>
      </c>
      <c r="B68" s="157">
        <v>215000</v>
      </c>
      <c r="C68" s="165">
        <v>172410</v>
      </c>
      <c r="D68" s="49">
        <f>INDEX(Parameters!$D$79:$D$90,MATCH(Inputs!A68,Parameters!$C$79:$C$90,0))</f>
        <v>2</v>
      </c>
    </row>
    <row r="69" spans="1:48">
      <c r="A69" s="143" t="s">
        <v>164</v>
      </c>
      <c r="B69" s="157">
        <v>187847</v>
      </c>
      <c r="C69" s="165">
        <v>154787</v>
      </c>
      <c r="D69" s="49">
        <f>INDEX(Parameters!$D$79:$D$90,MATCH(Inputs!A69,Parameters!$C$79:$C$90,0))</f>
        <v>1</v>
      </c>
    </row>
    <row r="70" spans="1:48">
      <c r="A70" s="143" t="s">
        <v>99</v>
      </c>
      <c r="B70" s="157">
        <v>245120</v>
      </c>
      <c r="C70" s="165">
        <v>215010</v>
      </c>
      <c r="D70" s="49">
        <f>INDEX(Parameters!$D$79:$D$90,MATCH(Inputs!A70,Parameters!$C$79:$C$90,0))</f>
        <v>12</v>
      </c>
    </row>
    <row r="71" spans="1:48">
      <c r="A71" s="144" t="s">
        <v>165</v>
      </c>
      <c r="B71" s="158">
        <v>402151</v>
      </c>
      <c r="C71" s="167">
        <v>365410</v>
      </c>
      <c r="D71" s="49">
        <f>INDEX(Parameters!$D$79:$D$90,MATCH(Inputs!A71,Parameters!$C$79:$C$90,0))</f>
        <v>11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200000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267.3672210925292</v>
      </c>
      <c r="M4" s="25">
        <f>L4*H4</f>
        <v>802.1016632775877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35934.15451483593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15750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</v>
      </c>
      <c r="AF4" s="60">
        <f>IF($A4=0,1/12,IFERROR(INDEX(Parameters!$X$2:$AI$17,MATCH(Calculations!$A4,Parameters!$A$2:$A$17,0),MONTH(Calculations!AF$3)),1/12))</f>
        <v>0.05128205128205128</v>
      </c>
      <c r="AG4" s="60">
        <f>IF($A4=0,1/12,IFERROR(INDEX(Parameters!$X$2:$AI$17,MATCH(Calculations!$A4,Parameters!$A$2:$A$17,0),MONTH(Calculations!AG$3)),1/12))</f>
        <v>0.1025641025641026</v>
      </c>
      <c r="AH4" s="60">
        <f>IF($A4=0,1/12,IFERROR(INDEX(Parameters!$X$2:$AI$17,MATCH(Calculations!$A4,Parameters!$A$2:$A$17,0),MONTH(Calculations!AH$3)),1/12))</f>
        <v>0.1282051282051282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0.1025641025641026</v>
      </c>
      <c r="AL4" s="60">
        <f>IF($A4=0,1/12,IFERROR(INDEX(Parameters!$X$2:$AI$17,MATCH(Calculations!$A4,Parameters!$A$2:$A$17,0),MONTH(Calculations!AL$3)),1/12))</f>
        <v>0.05128205128205128</v>
      </c>
      <c r="AM4" s="60">
        <f>IF($A4=0,1/12,IFERROR(INDEX(Parameters!$X$2:$AI$17,MATCH(Calculations!$A4,Parameters!$A$2:$A$17,0),MONTH(Calculations!AM$3)),1/12))</f>
        <v>0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</v>
      </c>
      <c r="AR4" s="60">
        <f>IF($A4=0,1/12,IFERROR(INDEX(Parameters!$X$2:$AI$17,MATCH(Calculations!$A4,Parameters!$A$2:$A$17,0),MONTH(Calculations!AR$3)),1/12))</f>
        <v>0.05128205128205128</v>
      </c>
      <c r="AS4" s="60">
        <f>IF($A4=0,1/12,IFERROR(INDEX(Parameters!$X$2:$AI$17,MATCH(Calculations!$A4,Parameters!$A$2:$A$17,0),MONTH(Calculations!AS$3)),1/12))</f>
        <v>0.1025641025641026</v>
      </c>
      <c r="AT4" s="60">
        <f>IF($A4=0,1/12,IFERROR(INDEX(Parameters!$X$2:$AI$17,MATCH(Calculations!$A4,Parameters!$A$2:$A$17,0),MONTH(Calculations!AT$3)),1/12))</f>
        <v>0.1282051282051282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0.1025641025641026</v>
      </c>
      <c r="AX4" s="60">
        <f>IF($A4=0,1/12,IFERROR(INDEX(Parameters!$X$2:$AI$17,MATCH(Calculations!$A4,Parameters!$A$2:$A$17,0),MONTH(Calculations!AX$3)),1/12))</f>
        <v>0.05128205128205128</v>
      </c>
      <c r="AY4" s="60">
        <f>IF($A4=0,1/12,IFERROR(INDEX(Parameters!$X$2:$AI$17,MATCH(Calculations!$A4,Parameters!$A$2:$A$17,0),MONTH(Calculations!AY$3)),1/12))</f>
        <v>0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19829.292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395594.3754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18750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43132</v>
      </c>
      <c r="D6" s="39">
        <f>IFERROR(DATE(YEAR(B6),MONTH(B6)+T6,DAY(B6)),"")</f>
        <v>43191</v>
      </c>
      <c r="E6" s="39">
        <f>IFERROR(IF($S6=0,"",IF($S6=2,DATE(YEAR(B6),MONTH(B6)+6,DAY(B6)),IF($S6=1,B6,""))),"")</f>
        <v>43252</v>
      </c>
      <c r="F6" s="39">
        <f>IFERROR(IF($S6=0,"",IF($S6=2,DATE(YEAR(C6),MONTH(C6)+6,DAY(C6)),IF($S6=1,C6,""))),"")</f>
        <v>43313</v>
      </c>
      <c r="G6" s="39">
        <f>IFERROR(IF($S6=0,"",IF($S6=2,DATE(YEAR(D6),MONTH(D6)+6,DAY(D6)),IF($S6=1,D6,""))),"")</f>
        <v>43374</v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649.2307957692631</v>
      </c>
      <c r="M6" s="30">
        <f>L6*H6</f>
        <v>1947.692387307789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77712.92625358079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909.0000000000002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900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18000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49000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289000</v>
      </c>
      <c r="B24" s="46">
        <f>SUM(C24:D24)</f>
        <v>154298.3333333333</v>
      </c>
      <c r="C24" s="46">
        <f>IF(Inputs!B57&gt;0,(Inputs!A57-Inputs!B57)/(DATE(YEAR(Inputs!$B$76),MONTH(Inputs!$B$76),DAY(Inputs!$B$76))-DATE(YEAR(Inputs!C57),MONTH(Inputs!C57),DAY(Inputs!C57)))*30,0)</f>
        <v>149000</v>
      </c>
      <c r="D24" s="46">
        <f>IF(Inputs!B57&gt;0,Inputs!A57*0.22/12,0)</f>
        <v>5298.333333333333</v>
      </c>
      <c r="E24" s="46">
        <f>IFERROR(ROUNDUP(Inputs!B57/B24,0),0)</f>
        <v>1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42963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42948</v>
      </c>
      <c r="F33" t="s">
        <v>171</v>
      </c>
      <c r="G33" s="128">
        <f>IF(Inputs!B79="","",DATE(YEAR(Inputs!B79),MONTH(Inputs!B79),DAY(Inputs!B79)))</f>
        <v>42923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42979</v>
      </c>
      <c r="F34" t="s">
        <v>172</v>
      </c>
      <c r="G34" s="128">
        <f>IF(Inputs!B80="","",DATE(YEAR(Inputs!B80),MONTH(Inputs!B80),DAY(Inputs!B80)))</f>
        <v>42963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43009</v>
      </c>
      <c r="F35" t="s">
        <v>174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43040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43085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43070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43101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43132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43160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43191</v>
      </c>
      <c r="F41" t="s">
        <v>238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43221</v>
      </c>
      <c r="F42" t="s">
        <v>239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212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119</v>
      </c>
      <c r="B24" s="21" t="s">
        <v>304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105</v>
      </c>
      <c r="B41" s="191" t="s">
        <v>97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119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98</v>
      </c>
      <c r="E52" s="12" t="s">
        <v>98</v>
      </c>
      <c r="F52" s="12" t="s">
        <v>98</v>
      </c>
      <c r="G52" s="12" t="s">
        <v>321</v>
      </c>
      <c r="H52" s="12" t="s">
        <v>322</v>
      </c>
      <c r="I52" s="12" t="s">
        <v>138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240</v>
      </c>
      <c r="E53" s="10" t="s">
        <v>199</v>
      </c>
      <c r="F53" s="10" t="s">
        <v>259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177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236</v>
      </c>
      <c r="J76" s="11" t="s">
        <v>355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97</v>
      </c>
      <c r="F77" s="12" t="s">
        <v>97</v>
      </c>
      <c r="G77" s="12" t="s">
        <v>357</v>
      </c>
      <c r="H77" s="12" t="s">
        <v>322</v>
      </c>
      <c r="I77" s="12" t="s">
        <v>358</v>
      </c>
      <c r="J77" s="136" t="s">
        <v>90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103</v>
      </c>
      <c r="D78" s="133"/>
      <c r="E78" s="12" t="s">
        <v>359</v>
      </c>
      <c r="F78" s="12" t="s">
        <v>360</v>
      </c>
      <c r="G78" s="12" t="s">
        <v>120</v>
      </c>
      <c r="H78" s="12" t="s">
        <v>138</v>
      </c>
      <c r="I78" s="12" t="s">
        <v>361</v>
      </c>
      <c r="J78" s="70" t="s">
        <v>96</v>
      </c>
      <c r="K78" s="12" t="s">
        <v>97</v>
      </c>
      <c r="AJ78" s="12"/>
    </row>
    <row r="79" spans="1:36">
      <c r="B79" s="176">
        <v>10</v>
      </c>
      <c r="C79" s="12" t="s">
        <v>164</v>
      </c>
      <c r="D79" s="12">
        <v>1</v>
      </c>
      <c r="E79" s="12" t="s">
        <v>362</v>
      </c>
      <c r="F79" s="12" t="s">
        <v>363</v>
      </c>
      <c r="G79" s="12" t="s">
        <v>118</v>
      </c>
      <c r="I79" s="12" t="s">
        <v>177</v>
      </c>
      <c r="J79" s="70" t="s">
        <v>364</v>
      </c>
      <c r="K79" s="12" t="s">
        <v>97</v>
      </c>
      <c r="AJ79" s="12"/>
    </row>
    <row r="80" spans="1:36">
      <c r="B80" s="176">
        <v>20</v>
      </c>
      <c r="C80" s="12" t="s">
        <v>163</v>
      </c>
      <c r="D80" s="12">
        <f>D79+1</f>
        <v>2</v>
      </c>
      <c r="E80" s="12" t="s">
        <v>91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101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165</v>
      </c>
      <c r="D89" s="12">
        <f>D88+1</f>
        <v>11</v>
      </c>
    </row>
    <row r="90" spans="1:36">
      <c r="C90" s="12" t="s">
        <v>99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