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<sst xmlns="http://schemas.openxmlformats.org/spreadsheetml/2006/main" uniqueCount="374">
  <si>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</si>
  <si>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</si>
  <si>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</si>
  <si>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</si>
  <si>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</si>
  <si>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</si>
  <si>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</si>
  <si>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</si>
  <si>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</si>
  <si>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</si>
  <si>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</si>
  <si>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</si>
  <si>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</si>
  <si>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</si>
  <si>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</si>
  <si>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</si>
  <si>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</si>
  <si>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</si>
  <si>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</si>
  <si>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</si>
  <si>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</si>
  <si>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</si>
  <si>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</si>
  <si>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</si>
  <si>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</si>
  <si>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</si>
  <si>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</si>
  <si>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</si>
  <si>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</si>
  <si>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</si>
  <si>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</si>
  <si>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</si>
  <si>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</si>
  <si>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</si>
  <si>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</si>
  <si>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</si>
  <si>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</si>
  <si>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</si>
  <si>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</si>
  <si>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</si>
  <si>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</si>
  <si>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</si>
  <si>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</si>
  <si>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</si>
  <si>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</si>
  <si>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</si>
  <si>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</si>
  <si>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</si>
  <si>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</si>
  <si>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</si>
  <si>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</si>
  <si>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</si>
  <si>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</si>
  <si>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</si>
  <si>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</si>
  <si>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</si>
  <si>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</si>
  <si>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</si>
  <si>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</si>
  <si>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</si>
  <si>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</si>
  <si>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</si>
  <si>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</si>
  <si>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</si>
  <si>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</si>
  <si>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</si>
  <si>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</si>
  <si>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</si>
  <si>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</si>
  <si>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</si>
  <si>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</si>
  <si>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</si>
  <si>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</si>
  <si>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</si>
  <si>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</si>
  <si>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</si>
  <si>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</si>
  <si>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</si>
  <si>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</si>
  <si>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</si>
  <si>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</si>
  <si>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</si>
  <si>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</si>
  <si>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</si>
  <si>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</si>
  <si>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</si>
  <si>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</si>
  <si>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</si>
  <si>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</si>
  <si>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</si>
  <si>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</si>
  <si>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Inorganic fertizers</t>
  </si>
  <si>
    <t>Yes</t>
  </si>
  <si>
    <t>Yes using a diesel pump</t>
  </si>
  <si>
    <t>July</t>
  </si>
  <si>
    <t>Cabbages</t>
  </si>
  <si>
    <t>Maize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</si>
  <si>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</si>
  <si>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</si>
  <si>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</si>
  <si>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</si>
  <si>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</si>
  <si>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</si>
  <si>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</si>
  <si>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</si>
  <si>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</si>
  <si>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</si>
  <si>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</si>
  <si>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</si>
  <si>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</si>
  <si>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</si>
  <si>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</si>
  <si>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</si>
  <si>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</si>
  <si>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</si>
  <si>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</si>
  <si>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</si>
  <si>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</si>
  <si>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</si>
  <si>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</si>
  <si>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</si>
  <si>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</si>
  <si>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</si>
  <si>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</si>
  <si>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</si>
  <si>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</si>
  <si>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</si>
  <si>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</si>
  <si>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</si>
  <si>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</si>
  <si>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</si>
  <si>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</si>
  <si>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</si>
  <si>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</si>
  <si>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</si>
  <si>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</si>
  <si>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</si>
  <si>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</si>
  <si>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</si>
  <si>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</si>
  <si>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</si>
  <si>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</si>
  <si>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</si>
  <si>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</si>
  <si>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3/9/2015</t>
  </si>
  <si>
    <t>family</t>
  </si>
  <si>
    <t>good loan repayment</t>
  </si>
  <si>
    <t>8/11/2014</t>
  </si>
  <si>
    <t>5/13/2015</t>
  </si>
  <si>
    <t>1/25/2010</t>
  </si>
  <si>
    <t>equity</t>
  </si>
  <si>
    <t>12/4/2013</t>
  </si>
  <si>
    <t>poor loan repayment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</si>
  <si>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</si>
  <si>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</si>
  <si>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</si>
  <si>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</si>
  <si>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</si>
  <si>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</si>
  <si>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</si>
  <si>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</si>
  <si>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</si>
  <si>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</si>
  <si>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</si>
  <si>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2017/7/11</t>
  </si>
  <si>
    <t>Loan terms</t>
  </si>
  <si>
    <t>Expected disbursement date</t>
  </si>
  <si>
    <t>Expected first repayment date</t>
  </si>
  <si>
    <t>2017/8/11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</si>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</sst>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June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Cabbages,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0.5841059701809055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2018</v>
      </c>
    </row>
    <row r="13" spans="1:7">
      <c r="B13" s="1" t="s">
        <v>8</v>
      </c>
      <c r="C13" s="67">
        <f>IFERROR(Output!B107/Output!B101,"")</f>
        <v>0.09230769230769231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357163.2293176949</v>
      </c>
    </row>
    <row r="18" spans="1:7">
      <c r="B18" s="1" t="s">
        <v>12</v>
      </c>
      <c r="C18" s="36">
        <f>MIN(Output!B6:M6)</f>
        <v>-40836.70916844336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176873.0037580903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32160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-40836.70916844336</v>
      </c>
      <c r="C6" s="51">
        <f>C30-C88</f>
        <v>-36912.70916844336</v>
      </c>
      <c r="D6" s="51">
        <f>D30-D88</f>
        <v>-39712.70916844336</v>
      </c>
      <c r="E6" s="51">
        <f>E30-E88</f>
        <v>87404.15876844054</v>
      </c>
      <c r="F6" s="51">
        <f>F30-F88</f>
        <v>-31528.33416844336</v>
      </c>
      <c r="G6" s="51">
        <f>G30-G88</f>
        <v>163304.4323295189</v>
      </c>
      <c r="H6" s="51">
        <f>H30-H88</f>
        <v>-29224.59887798133</v>
      </c>
      <c r="I6" s="51">
        <f>I30-I88</f>
        <v>10935.24827674515</v>
      </c>
      <c r="J6" s="51">
        <f>J30-J88</f>
        <v>13848.47927951466</v>
      </c>
      <c r="K6" s="51">
        <f>K30-K88</f>
        <v>100972.730197012</v>
      </c>
      <c r="L6" s="51">
        <f>L30-L88</f>
        <v>-17959.76273987193</v>
      </c>
      <c r="M6" s="51">
        <f>M30-M88</f>
        <v>176873.0037580903</v>
      </c>
      <c r="N6" s="51">
        <f>N30-N88</f>
        <v>-40836.70916844336</v>
      </c>
      <c r="O6" s="51">
        <f>O30-O88</f>
        <v>-36912.70916844336</v>
      </c>
      <c r="P6" s="51">
        <f>P30-P88</f>
        <v>-39712.70916844336</v>
      </c>
      <c r="Q6" s="51">
        <f>Q30-Q88</f>
        <v>87404.15876844054</v>
      </c>
      <c r="R6" s="51">
        <f>R30-R88</f>
        <v>-31528.33416844336</v>
      </c>
      <c r="S6" s="51">
        <f>S30-S88</f>
        <v>163304.4323295189</v>
      </c>
      <c r="T6" s="51">
        <f>T30-T88</f>
        <v>-29224.59887798133</v>
      </c>
      <c r="U6" s="51">
        <f>U30-U88</f>
        <v>10935.24827674515</v>
      </c>
      <c r="V6" s="51">
        <f>V30-V88</f>
        <v>13848.47927951466</v>
      </c>
      <c r="W6" s="51">
        <f>W30-W88</f>
        <v>100972.730197012</v>
      </c>
      <c r="X6" s="51">
        <f>X30-X88</f>
        <v>-17959.76273987193</v>
      </c>
      <c r="Y6" s="51">
        <f>Y30-Y88</f>
        <v>176873.0037580903</v>
      </c>
      <c r="Z6" s="51">
        <f>SUMIF($B$13:$Y$13,"Yes",B6:Y6)</f>
        <v>316326.5201492516</v>
      </c>
      <c r="AA6" s="51">
        <f>AA30-AA88</f>
        <v>357163.2293176948</v>
      </c>
      <c r="AB6" s="51">
        <f>AB30-AB88</f>
        <v>714326.4586353898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40000</v>
      </c>
      <c r="C7" s="80">
        <f>IF(ISERROR(VLOOKUP(MONTH(C5),Inputs!$D$66:$D$71,1,0)),"",INDEX(Inputs!$B$66:$B$71,MATCH(MONTH(Output!C5),Inputs!$D$66:$D$71,0))-INDEX(Inputs!$C$66:$C$71,MATCH(MONTH(Output!C5),Inputs!$D$66:$D$71,0)))</f>
        <v>-22000</v>
      </c>
      <c r="D7" s="80">
        <f>IF(ISERROR(VLOOKUP(MONTH(D5),Inputs!$D$66:$D$71,1,0)),"",INDEX(Inputs!$B$66:$B$71,MATCH(MONTH(Output!D5),Inputs!$D$66:$D$71,0))-INDEX(Inputs!$C$66:$C$71,MATCH(MONTH(Output!D5),Inputs!$D$66:$D$71,0)))</f>
        <v>-22000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-13000</v>
      </c>
      <c r="G7" s="80">
        <f>IF(ISERROR(VLOOKUP(MONTH(G5),Inputs!$D$66:$D$71,1,0)),"",INDEX(Inputs!$B$66:$B$71,MATCH(MONTH(Output!G5),Inputs!$D$66:$D$71,0))-INDEX(Inputs!$C$66:$C$71,MATCH(MONTH(Output!G5),Inputs!$D$66:$D$71,0)))</f>
        <v>450000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40000</v>
      </c>
      <c r="O7" s="80">
        <f>IF(ISERROR(VLOOKUP(MONTH(O5),Inputs!$D$66:$D$71,1,0)),"",INDEX(Inputs!$B$66:$B$71,MATCH(MONTH(Output!O5),Inputs!$D$66:$D$71,0))-INDEX(Inputs!$C$66:$C$71,MATCH(MONTH(Output!O5),Inputs!$D$66:$D$71,0)))</f>
        <v>-22000</v>
      </c>
      <c r="P7" s="80">
        <f>IF(ISERROR(VLOOKUP(MONTH(P5),Inputs!$D$66:$D$71,1,0)),"",INDEX(Inputs!$B$66:$B$71,MATCH(MONTH(Output!P5),Inputs!$D$66:$D$71,0))-INDEX(Inputs!$C$66:$C$71,MATCH(MONTH(Output!P5),Inputs!$D$66:$D$71,0)))</f>
        <v>-22000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-13000</v>
      </c>
      <c r="S7" s="80">
        <f>IF(ISERROR(VLOOKUP(MONTH(S5),Inputs!$D$66:$D$71,1,0)),"",INDEX(Inputs!$B$66:$B$71,MATCH(MONTH(Output!S5),Inputs!$D$66:$D$71,0))-INDEX(Inputs!$C$66:$C$71,MATCH(MONTH(Output!S5),Inputs!$D$66:$D$71,0)))</f>
        <v>450000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259163.2908315566</v>
      </c>
      <c r="C11" s="80">
        <f>C6+C9-C10</f>
        <v>-66912.70916844337</v>
      </c>
      <c r="D11" s="80">
        <f>D6+D9-D10</f>
        <v>-69712.70916844337</v>
      </c>
      <c r="E11" s="80">
        <f>E6+E9-E10</f>
        <v>57404.15876844054</v>
      </c>
      <c r="F11" s="80">
        <f>F6+F9-F10</f>
        <v>-61528.33416844336</v>
      </c>
      <c r="G11" s="80">
        <f>G6+G9-G10</f>
        <v>133304.4323295189</v>
      </c>
      <c r="H11" s="80">
        <f>H6+H9-H10</f>
        <v>-59224.59887798133</v>
      </c>
      <c r="I11" s="80">
        <f>I6+I9-I10</f>
        <v>-19064.75172325485</v>
      </c>
      <c r="J11" s="80">
        <f>J6+J9-J10</f>
        <v>-16151.52072048534</v>
      </c>
      <c r="K11" s="80">
        <f>K6+K9-K10</f>
        <v>70972.73019701196</v>
      </c>
      <c r="L11" s="80">
        <f>L6+L9-L10</f>
        <v>-47959.76273987193</v>
      </c>
      <c r="M11" s="80">
        <f>M6+M9-M10</f>
        <v>146873.0037580903</v>
      </c>
      <c r="N11" s="80">
        <f>N6+N9-N10</f>
        <v>-70836.70916844337</v>
      </c>
      <c r="O11" s="80">
        <f>O6+O9-O10</f>
        <v>-36912.70916844336</v>
      </c>
      <c r="P11" s="80">
        <f>P6+P9-P10</f>
        <v>-39712.70916844336</v>
      </c>
      <c r="Q11" s="80">
        <f>Q6+Q9-Q10</f>
        <v>87404.15876844054</v>
      </c>
      <c r="R11" s="80">
        <f>R6+R9-R10</f>
        <v>-31528.33416844336</v>
      </c>
      <c r="S11" s="80">
        <f>S6+S9-S10</f>
        <v>163304.4323295189</v>
      </c>
      <c r="T11" s="80">
        <f>T6+T9-T10</f>
        <v>-29224.59887798133</v>
      </c>
      <c r="U11" s="80">
        <f>U6+U9-U10</f>
        <v>10935.24827674515</v>
      </c>
      <c r="V11" s="80">
        <f>V6+V9-V10</f>
        <v>13848.47927951466</v>
      </c>
      <c r="W11" s="80">
        <f>W6+W9-W10</f>
        <v>100972.730197012</v>
      </c>
      <c r="X11" s="80">
        <f>X6+X9-X10</f>
        <v>-17959.76273987193</v>
      </c>
      <c r="Y11" s="80">
        <f>Y6+Y9-Y10</f>
        <v>176873.0037580903</v>
      </c>
      <c r="Z11" s="85">
        <f>SUMIF($B$13:$Y$13,"Yes",B11:Y11)</f>
        <v>256326.5201492514</v>
      </c>
      <c r="AA11" s="80">
        <f>SUM(B11:M11)</f>
        <v>327163.2293176948</v>
      </c>
      <c r="AB11" s="46">
        <f>SUM(B11:Y11)</f>
        <v>654326.4586353897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0.1349827738380182</v>
      </c>
      <c r="D12" s="82">
        <f>IF(D13="Yes",IF(SUM($B$10:D10)/(SUM($B$6:D6)+SUM($B$9:D9))&lt;0,999.99,SUM($B$10:D10)/(SUM($B$6:D6)+SUM($B$9:D9))),"")</f>
        <v>0.3286989115190437</v>
      </c>
      <c r="E12" s="82">
        <f>IF(E13="Yes",IF(SUM($B$10:E10)/(SUM($B$6:E6)+SUM($B$9:E9))&lt;0,999.99,SUM($B$10:E10)/(SUM($B$6:E6)+SUM($B$9:E9))),"")</f>
        <v>0.3334049150436957</v>
      </c>
      <c r="F12" s="82">
        <f>IF(F13="Yes",IF(SUM($B$10:F10)/(SUM($B$6:F6)+SUM($B$9:F9))&lt;0,999.99,SUM($B$10:F10)/(SUM($B$6:F6)+SUM($B$9:F9))),"")</f>
        <v>0.5033267864318698</v>
      </c>
      <c r="G12" s="82">
        <f>IF(G13="Yes",IF(SUM($B$10:G10)/(SUM($B$6:G6)+SUM($B$9:G9))&lt;0,999.99,SUM($B$10:G10)/(SUM($B$6:G6)+SUM($B$9:G9))),"")</f>
        <v>0.3733961427506564</v>
      </c>
      <c r="H12" s="82">
        <f>IF(H13="Yes",IF(SUM($B$10:H10)/(SUM($B$6:H6)+SUM($B$9:H9))&lt;0,999.99,SUM($B$10:H10)/(SUM($B$6:H6)+SUM($B$9:H9))),"")</f>
        <v>0.4832298690827129</v>
      </c>
      <c r="I12" s="82">
        <f>IF(I13="Yes",IF(SUM($B$10:I10)/(SUM($B$6:I6)+SUM($B$9:I9))&lt;0,999.99,SUM($B$10:I10)/(SUM($B$6:I6)+SUM($B$9:I9))),"")</f>
        <v>0.5476897186608117</v>
      </c>
      <c r="J12" s="82">
        <f>IF(J13="Yes",IF(SUM($B$10:J10)/(SUM($B$6:J6)+SUM($B$9:J9))&lt;0,999.99,SUM($B$10:J10)/(SUM($B$6:J6)+SUM($B$9:J9))),"")</f>
        <v>0.6041121033364059</v>
      </c>
      <c r="K12" s="82">
        <f>IF(K13="Yes",IF(SUM($B$10:K10)/(SUM($B$6:K6)+SUM($B$9:K9))&lt;0,999.99,SUM($B$10:K10)/(SUM($B$6:K6)+SUM($B$9:K9))),"")</f>
        <v>0.5418966509593066</v>
      </c>
      <c r="L12" s="82">
        <f>IF(L13="Yes",IF(SUM($B$10:L10)/(SUM($B$6:L6)+SUM($B$9:L9))&lt;0,999.99,SUM($B$10:L10)/(SUM($B$6:L6)+SUM($B$9:L9))),"")</f>
        <v>0.6246223304887342</v>
      </c>
      <c r="M12" s="82">
        <f>IF(M13="Yes",IF(SUM($B$10:M10)/(SUM($B$6:M6)+SUM($B$9:M9))&lt;0,999.99,SUM($B$10:M10)/(SUM($B$6:M6)+SUM($B$9:M9))),"")</f>
        <v>0.5021583455645033</v>
      </c>
      <c r="N12" s="82">
        <f>IF(N13="Yes",IF(SUM($B$10:N10)/(SUM($B$6:N6)+SUM($B$9:N9))&lt;0,999.99,SUM($B$10:N10)/(SUM($B$6:N6)+SUM($B$9:N9))),"")</f>
        <v>0.5841059701809055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194832.7664979623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194832.7664979623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194832.7664979623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194832.7664979623</v>
      </c>
      <c r="Z18" s="36">
        <f>SUMIF($B$13:$Y$13,"Yes",B18:Y18)</f>
        <v>389665.5329959246</v>
      </c>
      <c r="AA18" s="36">
        <f>SUM(B18:M18)</f>
        <v>389665.5329959246</v>
      </c>
      <c r="AB18" s="36">
        <f>SUM(B18:Y18)</f>
        <v>779331.0659918492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126316.8679368839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126316.8679368839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126316.8679368839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126316.8679368839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252633.7358737678</v>
      </c>
      <c r="AA19" s="36">
        <f>SUM(B19:M19)</f>
        <v>252633.7358737678</v>
      </c>
      <c r="AB19" s="36">
        <f>SUM(B19:Y19)</f>
        <v>505267.4717475356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28566.15501384757</v>
      </c>
      <c r="I20" s="36">
        <f>U20</f>
        <v>34279.38601661709</v>
      </c>
      <c r="J20" s="36">
        <f>V20</f>
        <v>39992.6170193866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28566.15501384757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34279.38601661709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39992.6170193866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102838.1580498512</v>
      </c>
      <c r="AA20" s="36">
        <f>SUM(B20:M20)</f>
        <v>102838.1580498512</v>
      </c>
      <c r="AB20" s="36">
        <f>SUM(B20:Y20)</f>
        <v>205676.3160997025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6388.88888888889</v>
      </c>
      <c r="C24" s="36">
        <f>IFERROR(Calculations!$P14/12,"")</f>
        <v>6388.88888888889</v>
      </c>
      <c r="D24" s="36">
        <f>IFERROR(Calculations!$P14/12,"")</f>
        <v>6388.88888888889</v>
      </c>
      <c r="E24" s="36">
        <f>IFERROR(Calculations!$P14/12,"")</f>
        <v>6388.88888888889</v>
      </c>
      <c r="F24" s="36">
        <f>IFERROR(Calculations!$P14/12,"")</f>
        <v>6388.88888888889</v>
      </c>
      <c r="G24" s="36">
        <f>IFERROR(Calculations!$P14/12,"")</f>
        <v>6388.88888888889</v>
      </c>
      <c r="H24" s="36">
        <f>IFERROR(Calculations!$P14/12,"")</f>
        <v>6388.88888888889</v>
      </c>
      <c r="I24" s="36">
        <f>IFERROR(Calculations!$P14/12,"")</f>
        <v>6388.88888888889</v>
      </c>
      <c r="J24" s="36">
        <f>IFERROR(Calculations!$P14/12,"")</f>
        <v>6388.88888888889</v>
      </c>
      <c r="K24" s="36">
        <f>IFERROR(Calculations!$P14/12,"")</f>
        <v>6388.88888888889</v>
      </c>
      <c r="L24" s="36">
        <f>IFERROR(Calculations!$P14/12,"")</f>
        <v>6388.88888888889</v>
      </c>
      <c r="M24" s="36">
        <f>IFERROR(Calculations!$P14/12,"")</f>
        <v>6388.88888888889</v>
      </c>
      <c r="N24" s="36">
        <f>IFERROR(Calculations!$P14/12,"")</f>
        <v>6388.88888888889</v>
      </c>
      <c r="O24" s="36">
        <f>IFERROR(Calculations!$P14/12,"")</f>
        <v>6388.88888888889</v>
      </c>
      <c r="P24" s="36">
        <f>IFERROR(Calculations!$P14/12,"")</f>
        <v>6388.88888888889</v>
      </c>
      <c r="Q24" s="36">
        <f>IFERROR(Calculations!$P14/12,"")</f>
        <v>6388.88888888889</v>
      </c>
      <c r="R24" s="36">
        <f>IFERROR(Calculations!$P14/12,"")</f>
        <v>6388.88888888889</v>
      </c>
      <c r="S24" s="36">
        <f>IFERROR(Calculations!$P14/12,"")</f>
        <v>6388.88888888889</v>
      </c>
      <c r="T24" s="36">
        <f>IFERROR(Calculations!$P14/12,"")</f>
        <v>6388.88888888889</v>
      </c>
      <c r="U24" s="36">
        <f>IFERROR(Calculations!$P14/12,"")</f>
        <v>6388.88888888889</v>
      </c>
      <c r="V24" s="36">
        <f>IFERROR(Calculations!$P14/12,"")</f>
        <v>6388.88888888889</v>
      </c>
      <c r="W24" s="36">
        <f>IFERROR(Calculations!$P14/12,"")</f>
        <v>6388.88888888889</v>
      </c>
      <c r="X24" s="36">
        <f>IFERROR(Calculations!$P14/12,"")</f>
        <v>6388.88888888889</v>
      </c>
      <c r="Y24" s="36">
        <f>IFERROR(Calculations!$P14/12,"")</f>
        <v>6388.88888888889</v>
      </c>
      <c r="Z24" s="36">
        <f>SUMIF($B$13:$Y$13,"Yes",B24:Y24)</f>
        <v>83055.55555555556</v>
      </c>
      <c r="AA24" s="36">
        <f>SUM(B24:M24)</f>
        <v>76666.66666666667</v>
      </c>
      <c r="AB24" s="46">
        <f>SUM(B24:Y24)</f>
        <v>153333.3333333333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6388.88888888889</v>
      </c>
      <c r="C30" s="19">
        <f>SUM(C18:C29)</f>
        <v>6388.88888888889</v>
      </c>
      <c r="D30" s="19">
        <f>SUM(D18:D29)</f>
        <v>6388.88888888889</v>
      </c>
      <c r="E30" s="19">
        <f>SUM(E18:E29)</f>
        <v>132705.7568257728</v>
      </c>
      <c r="F30" s="19">
        <f>SUM(F18:F29)</f>
        <v>6388.88888888889</v>
      </c>
      <c r="G30" s="19">
        <f>SUM(G18:G29)</f>
        <v>201221.6553868512</v>
      </c>
      <c r="H30" s="19">
        <f>SUM(H18:H29)</f>
        <v>34955.04390273646</v>
      </c>
      <c r="I30" s="19">
        <f>SUM(I18:I29)</f>
        <v>40668.27490550598</v>
      </c>
      <c r="J30" s="19">
        <f>SUM(J18:J29)</f>
        <v>46381.50590827549</v>
      </c>
      <c r="K30" s="19">
        <f>SUM(K18:K29)</f>
        <v>132705.7568257728</v>
      </c>
      <c r="L30" s="19">
        <f>SUM(L18:L29)</f>
        <v>6388.88888888889</v>
      </c>
      <c r="M30" s="19">
        <f>SUM(M18:M29)</f>
        <v>201221.6553868512</v>
      </c>
      <c r="N30" s="19">
        <f>SUM(N18:N29)</f>
        <v>6388.88888888889</v>
      </c>
      <c r="O30" s="19">
        <f>SUM(O18:O29)</f>
        <v>6388.88888888889</v>
      </c>
      <c r="P30" s="19">
        <f>SUM(P18:P29)</f>
        <v>6388.88888888889</v>
      </c>
      <c r="Q30" s="19">
        <f>SUM(Q18:Q29)</f>
        <v>132705.7568257728</v>
      </c>
      <c r="R30" s="19">
        <f>SUM(R18:R29)</f>
        <v>6388.88888888889</v>
      </c>
      <c r="S30" s="19">
        <f>SUM(S18:S29)</f>
        <v>201221.6553868512</v>
      </c>
      <c r="T30" s="19">
        <f>SUM(T18:T29)</f>
        <v>34955.04390273646</v>
      </c>
      <c r="U30" s="19">
        <f>SUM(U18:U29)</f>
        <v>40668.27490550598</v>
      </c>
      <c r="V30" s="19">
        <f>SUM(V18:V29)</f>
        <v>46381.50590827549</v>
      </c>
      <c r="W30" s="19">
        <f>SUM(W18:W29)</f>
        <v>132705.7568257728</v>
      </c>
      <c r="X30" s="19">
        <f>SUM(X18:X29)</f>
        <v>6388.88888888889</v>
      </c>
      <c r="Y30" s="19">
        <f>SUM(Y18:Y29)</f>
        <v>201221.6553868512</v>
      </c>
      <c r="Z30" s="19">
        <f>SUMIF($B$13:$Y$13,"Yes",B30:Y30)</f>
        <v>828192.9824750992</v>
      </c>
      <c r="AA30" s="19">
        <f>SUM(B30:M30)</f>
        <v>821804.0935862103</v>
      </c>
      <c r="AB30" s="19">
        <f>SUM(B30:Y30)</f>
        <v>1643608.187172421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3924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2106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3924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2106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9954</v>
      </c>
      <c r="AA42" s="36">
        <f>SUM(B42:M42)</f>
        <v>6030</v>
      </c>
      <c r="AB42" s="36">
        <f>SUM(B42:Y42)</f>
        <v>12060</v>
      </c>
    </row>
    <row r="43" spans="1:30" hidden="true" outlineLevel="1">
      <c r="A43" s="181" t="str">
        <f>Calculations!$A$4</f>
        <v>Onions</v>
      </c>
      <c r="B43" s="36">
        <f>N43</f>
        <v>1500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Cabbages</v>
      </c>
      <c r="B44" s="36">
        <f>N44</f>
        <v>606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606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606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606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Maize</v>
      </c>
      <c r="B45" s="36">
        <f>N45</f>
        <v>1818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1818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3636.000000000001</v>
      </c>
      <c r="AA45" s="36">
        <f>SUM(B45:M45)</f>
        <v>1818</v>
      </c>
      <c r="AB45" s="36">
        <f>SUM(B45:Y45)</f>
        <v>3636.000000000001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2800</v>
      </c>
      <c r="E48" s="36">
        <f>Q48</f>
        <v>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2800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2800</v>
      </c>
      <c r="Q48" s="46">
        <f>SUM(Q49:Q53)</f>
        <v>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2800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9600</v>
      </c>
      <c r="AA48" s="46">
        <f>SUM(B48:M48)</f>
        <v>9600</v>
      </c>
      <c r="AB48" s="46">
        <f>SUM(B48:Y48)</f>
        <v>19200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2800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2800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2800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2800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18772.04472338554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18772.04472338554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18772.04472338554</v>
      </c>
      <c r="AA54" s="46">
        <f>SUM(B54:M54)</f>
        <v>18772.04472338554</v>
      </c>
      <c r="AB54" s="46">
        <f>SUM(B54:Y54)</f>
        <v>37544.08944677109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18772.04472338554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18772.04472338554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18772.04472338554</v>
      </c>
      <c r="AA57" s="46">
        <f>SUM(B57:M57)</f>
        <v>18772.04472338554</v>
      </c>
      <c r="AB57" s="46">
        <f>SUM(B57:Y57)</f>
        <v>37544.08944677109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7452.380952380952</v>
      </c>
      <c r="C60" s="36">
        <f>O60</f>
        <v>7452.380952380952</v>
      </c>
      <c r="D60" s="36">
        <f>P60</f>
        <v>7452.380952380952</v>
      </c>
      <c r="E60" s="36">
        <f>Q60</f>
        <v>7452.380952380952</v>
      </c>
      <c r="F60" s="36">
        <f>R60</f>
        <v>5452.380952380952</v>
      </c>
      <c r="G60" s="36">
        <f>S60</f>
        <v>5452.380952380952</v>
      </c>
      <c r="H60" s="36">
        <f>T60</f>
        <v>7452.380952380952</v>
      </c>
      <c r="I60" s="36">
        <f>U60</f>
        <v>3166.666666666667</v>
      </c>
      <c r="J60" s="36">
        <f>V60</f>
        <v>3166.666666666667</v>
      </c>
      <c r="K60" s="36">
        <f>W60</f>
        <v>3166.666666666667</v>
      </c>
      <c r="L60" s="36">
        <f>X60</f>
        <v>1166.666666666667</v>
      </c>
      <c r="M60" s="36">
        <f>Y60</f>
        <v>1166.666666666667</v>
      </c>
      <c r="N60" s="46">
        <f>SUM(N61:N65)</f>
        <v>7452.380952380952</v>
      </c>
      <c r="O60" s="46">
        <f>SUM(O61:O65)</f>
        <v>7452.380952380952</v>
      </c>
      <c r="P60" s="46">
        <f>SUM(P61:P65)</f>
        <v>7452.380952380952</v>
      </c>
      <c r="Q60" s="46">
        <f>SUM(Q61:Q65)</f>
        <v>7452.380952380952</v>
      </c>
      <c r="R60" s="46">
        <f>SUM(R61:R65)</f>
        <v>5452.380952380952</v>
      </c>
      <c r="S60" s="46">
        <f>SUM(S61:S65)</f>
        <v>5452.380952380952</v>
      </c>
      <c r="T60" s="46">
        <f>SUM(T61:T65)</f>
        <v>7452.380952380952</v>
      </c>
      <c r="U60" s="46">
        <f>SUM(U61:U65)</f>
        <v>3166.666666666667</v>
      </c>
      <c r="V60" s="46">
        <f>SUM(V61:V65)</f>
        <v>3166.666666666667</v>
      </c>
      <c r="W60" s="46">
        <f>SUM(W61:W65)</f>
        <v>3166.666666666667</v>
      </c>
      <c r="X60" s="46">
        <f>SUM(X61:X65)</f>
        <v>1166.666666666667</v>
      </c>
      <c r="Y60" s="46">
        <f>SUM(Y61:Y65)</f>
        <v>1166.666666666667</v>
      </c>
      <c r="Z60" s="46">
        <f>SUMIF($B$13:$Y$13,"Yes",B60:Y60)</f>
        <v>67452.38095238095</v>
      </c>
      <c r="AA60" s="46">
        <f>SUM(B60:M60)</f>
        <v>59999.99999999999</v>
      </c>
      <c r="AB60" s="46">
        <f>SUM(B60:Y60)</f>
        <v>120000</v>
      </c>
    </row>
    <row r="61" spans="1:30" hidden="true" outlineLevel="1">
      <c r="A61" s="181" t="str">
        <f>Calculations!$A$4</f>
        <v>Onions</v>
      </c>
      <c r="B61" s="36">
        <f>N61</f>
        <v>1166.666666666667</v>
      </c>
      <c r="C61" s="36">
        <f>O61</f>
        <v>1166.666666666667</v>
      </c>
      <c r="D61" s="36">
        <f>P61</f>
        <v>1166.666666666667</v>
      </c>
      <c r="E61" s="36">
        <f>Q61</f>
        <v>1166.666666666667</v>
      </c>
      <c r="F61" s="36">
        <f>R61</f>
        <v>1166.666666666667</v>
      </c>
      <c r="G61" s="36">
        <f>S61</f>
        <v>1166.666666666667</v>
      </c>
      <c r="H61" s="36">
        <f>T61</f>
        <v>1166.666666666667</v>
      </c>
      <c r="I61" s="36">
        <f>U61</f>
        <v>1166.666666666667</v>
      </c>
      <c r="J61" s="36">
        <f>V61</f>
        <v>1166.666666666667</v>
      </c>
      <c r="K61" s="36">
        <f>W61</f>
        <v>1166.666666666667</v>
      </c>
      <c r="L61" s="36">
        <f>X61</f>
        <v>1166.666666666667</v>
      </c>
      <c r="M61" s="36">
        <f>Y61</f>
        <v>1166.666666666667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1166.666666666667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1166.666666666667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1166.666666666667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1166.666666666667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1166.666666666667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1166.666666666667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1166.666666666667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1166.666666666667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1166.666666666667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1166.666666666667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1166.666666666667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1166.666666666667</v>
      </c>
      <c r="Z61" s="46">
        <f>SUMIF($B$13:$Y$13,"Yes",B61:Y61)</f>
        <v>15166.66666666666</v>
      </c>
      <c r="AA61" s="46">
        <f>SUM(B61:M61)</f>
        <v>14000</v>
      </c>
      <c r="AB61" s="46">
        <f>SUM(B61:Y61)</f>
        <v>28000.00000000001</v>
      </c>
    </row>
    <row r="62" spans="1:30" hidden="true" outlineLevel="1">
      <c r="A62" s="181" t="str">
        <f>Calculations!$A$5</f>
        <v>Cabbages</v>
      </c>
      <c r="B62" s="36">
        <f>N62</f>
        <v>2000</v>
      </c>
      <c r="C62" s="36">
        <f>O62</f>
        <v>2000</v>
      </c>
      <c r="D62" s="36">
        <f>P62</f>
        <v>2000</v>
      </c>
      <c r="E62" s="36">
        <f>Q62</f>
        <v>2000</v>
      </c>
      <c r="F62" s="36">
        <f>R62</f>
        <v>0</v>
      </c>
      <c r="G62" s="36">
        <f>S62</f>
        <v>0</v>
      </c>
      <c r="H62" s="36">
        <f>T62</f>
        <v>2000</v>
      </c>
      <c r="I62" s="36">
        <f>U62</f>
        <v>2000</v>
      </c>
      <c r="J62" s="36">
        <f>V62</f>
        <v>2000</v>
      </c>
      <c r="K62" s="36">
        <f>W62</f>
        <v>2000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18000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 t="str">
        <f>Calculations!$A$6</f>
        <v>Maize</v>
      </c>
      <c r="B63" s="36">
        <f>N63</f>
        <v>4285.714285714285</v>
      </c>
      <c r="C63" s="36">
        <f>O63</f>
        <v>4285.714285714285</v>
      </c>
      <c r="D63" s="36">
        <f>P63</f>
        <v>4285.714285714285</v>
      </c>
      <c r="E63" s="36">
        <f>Q63</f>
        <v>4285.714285714285</v>
      </c>
      <c r="F63" s="36">
        <f>R63</f>
        <v>4285.714285714285</v>
      </c>
      <c r="G63" s="36">
        <f>S63</f>
        <v>4285.714285714285</v>
      </c>
      <c r="H63" s="36">
        <f>T63</f>
        <v>4285.714285714285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4285.714285714285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4285.714285714285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4285.714285714285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4285.714285714285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4285.714285714285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4285.714285714285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4285.714285714285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34285.71428571428</v>
      </c>
      <c r="AA63" s="46">
        <f>SUM(B63:M63)</f>
        <v>30000</v>
      </c>
      <c r="AB63" s="46">
        <f>SUM(B63:Y63)</f>
        <v>59999.99999999998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14923.48214285714</v>
      </c>
      <c r="C66" s="36">
        <f>O66</f>
        <v>14923.48214285714</v>
      </c>
      <c r="D66" s="36">
        <f>P66</f>
        <v>14923.48214285714</v>
      </c>
      <c r="E66" s="36">
        <f>Q66</f>
        <v>14923.48214285714</v>
      </c>
      <c r="F66" s="36">
        <f>R66</f>
        <v>11539.10714285714</v>
      </c>
      <c r="G66" s="36">
        <f>S66</f>
        <v>11539.10714285714</v>
      </c>
      <c r="H66" s="36">
        <f>T66</f>
        <v>14923.48214285714</v>
      </c>
      <c r="I66" s="36">
        <f>U66</f>
        <v>5640.625</v>
      </c>
      <c r="J66" s="36">
        <f>V66</f>
        <v>5640.625</v>
      </c>
      <c r="K66" s="36">
        <f>W66</f>
        <v>5640.625</v>
      </c>
      <c r="L66" s="36">
        <f>X66</f>
        <v>2256.25</v>
      </c>
      <c r="M66" s="36">
        <f>Y66</f>
        <v>2256.25</v>
      </c>
      <c r="N66" s="46">
        <f>SUM(N67:N71)</f>
        <v>14923.48214285714</v>
      </c>
      <c r="O66" s="46">
        <f>SUM(O67:O71)</f>
        <v>14923.48214285714</v>
      </c>
      <c r="P66" s="46">
        <f>SUM(P67:P71)</f>
        <v>14923.48214285714</v>
      </c>
      <c r="Q66" s="46">
        <f>SUM(Q67:Q71)</f>
        <v>14923.48214285714</v>
      </c>
      <c r="R66" s="46">
        <f>SUM(R67:R71)</f>
        <v>11539.10714285714</v>
      </c>
      <c r="S66" s="46">
        <f>SUM(S67:S71)</f>
        <v>11539.10714285714</v>
      </c>
      <c r="T66" s="46">
        <f>SUM(T67:T71)</f>
        <v>14923.48214285714</v>
      </c>
      <c r="U66" s="46">
        <f>SUM(U67:U71)</f>
        <v>5640.625</v>
      </c>
      <c r="V66" s="46">
        <f>SUM(V67:V71)</f>
        <v>5640.625</v>
      </c>
      <c r="W66" s="46">
        <f>SUM(W67:W71)</f>
        <v>5640.625</v>
      </c>
      <c r="X66" s="46">
        <f>SUM(X67:X71)</f>
        <v>2256.25</v>
      </c>
      <c r="Y66" s="46">
        <f>SUM(Y67:Y71)</f>
        <v>2256.25</v>
      </c>
      <c r="Z66" s="46">
        <f>SUMIF($B$13:$Y$13,"Yes",B66:Y66)</f>
        <v>134053.4821428571</v>
      </c>
      <c r="AA66" s="46">
        <f>SUM(B66:M66)</f>
        <v>119130</v>
      </c>
      <c r="AB66" s="46">
        <f>SUM(B66:Y66)</f>
        <v>238259.9999999999</v>
      </c>
    </row>
    <row r="67" spans="1:30" hidden="true" outlineLevel="1">
      <c r="A67" s="181" t="str">
        <f>Calculations!$A$4</f>
        <v>Onions</v>
      </c>
      <c r="B67" s="36">
        <f>N67</f>
        <v>2256.25</v>
      </c>
      <c r="C67" s="36">
        <f>O67</f>
        <v>2256.25</v>
      </c>
      <c r="D67" s="36">
        <f>P67</f>
        <v>2256.25</v>
      </c>
      <c r="E67" s="36">
        <f>Q67</f>
        <v>2256.25</v>
      </c>
      <c r="F67" s="36">
        <f>R67</f>
        <v>2256.25</v>
      </c>
      <c r="G67" s="36">
        <f>S67</f>
        <v>2256.25</v>
      </c>
      <c r="H67" s="36">
        <f>T67</f>
        <v>2256.25</v>
      </c>
      <c r="I67" s="36">
        <f>U67</f>
        <v>2256.25</v>
      </c>
      <c r="J67" s="36">
        <f>V67</f>
        <v>2256.25</v>
      </c>
      <c r="K67" s="36">
        <f>W67</f>
        <v>2256.25</v>
      </c>
      <c r="L67" s="36">
        <f>X67</f>
        <v>2256.25</v>
      </c>
      <c r="M67" s="36">
        <f>Y67</f>
        <v>2256.25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2256.25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2256.25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2256.25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2256.25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2256.25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2256.25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2256.25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2256.25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2256.25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2256.25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2256.25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2256.25</v>
      </c>
      <c r="Z67" s="46">
        <f>SUMIF($B$13:$Y$13,"Yes",B67:Y67)</f>
        <v>29331.25</v>
      </c>
      <c r="AA67" s="46">
        <f>SUM(B67:M67)</f>
        <v>27075</v>
      </c>
      <c r="AB67" s="46">
        <f>SUM(B67:Y67)</f>
        <v>54150</v>
      </c>
    </row>
    <row r="68" spans="1:30" hidden="true" outlineLevel="1">
      <c r="A68" s="181" t="str">
        <f>Calculations!$A$5</f>
        <v>Cabbages</v>
      </c>
      <c r="B68" s="36">
        <f>N68</f>
        <v>3384.375</v>
      </c>
      <c r="C68" s="36">
        <f>O68</f>
        <v>3384.375</v>
      </c>
      <c r="D68" s="36">
        <f>P68</f>
        <v>3384.375</v>
      </c>
      <c r="E68" s="36">
        <f>Q68</f>
        <v>3384.375</v>
      </c>
      <c r="F68" s="36">
        <f>R68</f>
        <v>0</v>
      </c>
      <c r="G68" s="36">
        <f>S68</f>
        <v>0</v>
      </c>
      <c r="H68" s="36">
        <f>T68</f>
        <v>3384.375</v>
      </c>
      <c r="I68" s="36">
        <f>U68</f>
        <v>3384.375</v>
      </c>
      <c r="J68" s="36">
        <f>V68</f>
        <v>3384.375</v>
      </c>
      <c r="K68" s="36">
        <f>W68</f>
        <v>3384.375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3384.375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3384.375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3384.375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3384.375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3384.375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3384.375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3384.375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3384.375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30459.375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1" t="str">
        <f>Calculations!$A$6</f>
        <v>Maize</v>
      </c>
      <c r="B69" s="36">
        <f>N69</f>
        <v>9282.857142857141</v>
      </c>
      <c r="C69" s="36">
        <f>O69</f>
        <v>9282.857142857141</v>
      </c>
      <c r="D69" s="36">
        <f>P69</f>
        <v>9282.857142857141</v>
      </c>
      <c r="E69" s="36">
        <f>Q69</f>
        <v>9282.857142857141</v>
      </c>
      <c r="F69" s="36">
        <f>R69</f>
        <v>9282.857142857141</v>
      </c>
      <c r="G69" s="36">
        <f>S69</f>
        <v>9282.857142857141</v>
      </c>
      <c r="H69" s="36">
        <f>T69</f>
        <v>9282.857142857141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9282.857142857141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9282.857142857141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9282.857142857141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9282.857142857141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9282.857142857141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9282.857142857141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9282.857142857141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74262.85714285714</v>
      </c>
      <c r="AA69" s="46">
        <f>SUM(B69:M69)</f>
        <v>64980</v>
      </c>
      <c r="AB69" s="46">
        <f>SUM(B69:Y69)</f>
        <v>129960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583.3333333333334</v>
      </c>
      <c r="C76" s="46">
        <f>SUM(Calculations!$S$14:$S$16)/12</f>
        <v>583.3333333333334</v>
      </c>
      <c r="D76" s="46">
        <f>SUM(Calculations!$S$14:$S$16)/12</f>
        <v>583.3333333333334</v>
      </c>
      <c r="E76" s="46">
        <f>SUM(Calculations!$S$14:$S$16)/12</f>
        <v>583.3333333333334</v>
      </c>
      <c r="F76" s="46">
        <f>SUM(Calculations!$S$14:$S$16)/12</f>
        <v>583.3333333333334</v>
      </c>
      <c r="G76" s="46">
        <f>SUM(Calculations!$S$14:$S$16)/12</f>
        <v>583.3333333333334</v>
      </c>
      <c r="H76" s="46">
        <f>SUM(Calculations!$S$14:$S$16)/12</f>
        <v>583.3333333333334</v>
      </c>
      <c r="I76" s="46">
        <f>SUM(Calculations!$S$14:$S$16)/12</f>
        <v>583.3333333333334</v>
      </c>
      <c r="J76" s="46">
        <f>SUM(Calculations!$S$14:$S$16)/12</f>
        <v>583.3333333333334</v>
      </c>
      <c r="K76" s="46">
        <f>SUM(Calculations!$S$14:$S$16)/12</f>
        <v>583.3333333333334</v>
      </c>
      <c r="L76" s="46">
        <f>SUM(Calculations!$S$14:$S$16)/12</f>
        <v>583.3333333333334</v>
      </c>
      <c r="M76" s="46">
        <f>SUM(Calculations!$S$14:$S$16)/12</f>
        <v>583.3333333333334</v>
      </c>
      <c r="N76" s="46">
        <f>SUM(Calculations!$S$14:$S$16)/12</f>
        <v>583.3333333333334</v>
      </c>
      <c r="O76" s="46">
        <f>SUM(Calculations!$S$14:$S$16)/12</f>
        <v>583.3333333333334</v>
      </c>
      <c r="P76" s="46">
        <f>SUM(Calculations!$S$14:$S$16)/12</f>
        <v>583.3333333333334</v>
      </c>
      <c r="Q76" s="46">
        <f>SUM(Calculations!$S$14:$S$16)/12</f>
        <v>583.3333333333334</v>
      </c>
      <c r="R76" s="46">
        <f>SUM(Calculations!$S$14:$S$16)/12</f>
        <v>583.3333333333334</v>
      </c>
      <c r="S76" s="46">
        <f>SUM(Calculations!$S$14:$S$16)/12</f>
        <v>583.3333333333334</v>
      </c>
      <c r="T76" s="46">
        <f>SUM(Calculations!$S$14:$S$16)/12</f>
        <v>583.3333333333334</v>
      </c>
      <c r="U76" s="46">
        <f>SUM(Calculations!$S$14:$S$16)/12</f>
        <v>583.3333333333334</v>
      </c>
      <c r="V76" s="46">
        <f>SUM(Calculations!$S$14:$S$16)/12</f>
        <v>583.3333333333334</v>
      </c>
      <c r="W76" s="46">
        <f>SUM(Calculations!$S$14:$S$16)/12</f>
        <v>583.3333333333334</v>
      </c>
      <c r="X76" s="46">
        <f>SUM(Calculations!$S$14:$S$16)/12</f>
        <v>583.3333333333334</v>
      </c>
      <c r="Y76" s="46">
        <f>SUM(Calculations!$S$14:$S$16)/12</f>
        <v>583.3333333333334</v>
      </c>
      <c r="Z76" s="46">
        <f>SUMIF($B$13:$Y$13,"Yes",B76:Y76)</f>
        <v>7583.333333333332</v>
      </c>
      <c r="AA76" s="46">
        <f>SUM(B76:M76)</f>
        <v>6999.999999999999</v>
      </c>
      <c r="AB76" s="46">
        <f>SUM(B76:Y76)</f>
        <v>14000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19842.40162876082</v>
      </c>
      <c r="C81" s="46">
        <f>(SUM($AA$18:$AA$29)-SUM($AA$36,$AA$42,$AA$48,$AA$54,$AA$60,$AA$66,$AA$72:$AA$79))*Parameters!$B$37/12</f>
        <v>19842.40162876082</v>
      </c>
      <c r="D81" s="46">
        <f>(SUM($AA$18:$AA$29)-SUM($AA$36,$AA$42,$AA$48,$AA$54,$AA$60,$AA$66,$AA$72:$AA$79))*Parameters!$B$37/12</f>
        <v>19842.40162876082</v>
      </c>
      <c r="E81" s="46">
        <f>(SUM($AA$18:$AA$29)-SUM($AA$36,$AA$42,$AA$48,$AA$54,$AA$60,$AA$66,$AA$72:$AA$79))*Parameters!$B$37/12</f>
        <v>19842.40162876082</v>
      </c>
      <c r="F81" s="46">
        <f>(SUM($AA$18:$AA$29)-SUM($AA$36,$AA$42,$AA$48,$AA$54,$AA$60,$AA$66,$AA$72:$AA$79))*Parameters!$B$37/12</f>
        <v>19842.40162876082</v>
      </c>
      <c r="G81" s="46">
        <f>(SUM($AA$18:$AA$29)-SUM($AA$36,$AA$42,$AA$48,$AA$54,$AA$60,$AA$66,$AA$72:$AA$79))*Parameters!$B$37/12</f>
        <v>19842.40162876082</v>
      </c>
      <c r="H81" s="46">
        <f>(SUM($AA$18:$AA$29)-SUM($AA$36,$AA$42,$AA$48,$AA$54,$AA$60,$AA$66,$AA$72:$AA$79))*Parameters!$B$37/12</f>
        <v>19842.40162876082</v>
      </c>
      <c r="I81" s="46">
        <f>(SUM($AA$18:$AA$29)-SUM($AA$36,$AA$42,$AA$48,$AA$54,$AA$60,$AA$66,$AA$72:$AA$79))*Parameters!$B$37/12</f>
        <v>19842.40162876082</v>
      </c>
      <c r="J81" s="46">
        <f>(SUM($AA$18:$AA$29)-SUM($AA$36,$AA$42,$AA$48,$AA$54,$AA$60,$AA$66,$AA$72:$AA$79))*Parameters!$B$37/12</f>
        <v>19842.40162876082</v>
      </c>
      <c r="K81" s="46">
        <f>(SUM($AA$18:$AA$29)-SUM($AA$36,$AA$42,$AA$48,$AA$54,$AA$60,$AA$66,$AA$72:$AA$79))*Parameters!$B$37/12</f>
        <v>19842.40162876082</v>
      </c>
      <c r="L81" s="46">
        <f>(SUM($AA$18:$AA$29)-SUM($AA$36,$AA$42,$AA$48,$AA$54,$AA$60,$AA$66,$AA$72:$AA$79))*Parameters!$B$37/12</f>
        <v>19842.40162876082</v>
      </c>
      <c r="M81" s="46">
        <f>(SUM($AA$18:$AA$29)-SUM($AA$36,$AA$42,$AA$48,$AA$54,$AA$60,$AA$66,$AA$72:$AA$79))*Parameters!$B$37/12</f>
        <v>19842.40162876082</v>
      </c>
      <c r="N81" s="46">
        <f>(SUM($AA$18:$AA$29)-SUM($AA$36,$AA$42,$AA$48,$AA$54,$AA$60,$AA$66,$AA$72:$AA$79))*Parameters!$B$37/12</f>
        <v>19842.40162876082</v>
      </c>
      <c r="O81" s="46">
        <f>(SUM($AA$18:$AA$29)-SUM($AA$36,$AA$42,$AA$48,$AA$54,$AA$60,$AA$66,$AA$72:$AA$79))*Parameters!$B$37/12</f>
        <v>19842.40162876082</v>
      </c>
      <c r="P81" s="46">
        <f>(SUM($AA$18:$AA$29)-SUM($AA$36,$AA$42,$AA$48,$AA$54,$AA$60,$AA$66,$AA$72:$AA$79))*Parameters!$B$37/12</f>
        <v>19842.40162876082</v>
      </c>
      <c r="Q81" s="46">
        <f>(SUM($AA$18:$AA$29)-SUM($AA$36,$AA$42,$AA$48,$AA$54,$AA$60,$AA$66,$AA$72:$AA$79))*Parameters!$B$37/12</f>
        <v>19842.40162876082</v>
      </c>
      <c r="R81" s="46">
        <f>(SUM($AA$18:$AA$29)-SUM($AA$36,$AA$42,$AA$48,$AA$54,$AA$60,$AA$66,$AA$72:$AA$79))*Parameters!$B$37/12</f>
        <v>19842.40162876082</v>
      </c>
      <c r="S81" s="46">
        <f>(SUM($AA$18:$AA$29)-SUM($AA$36,$AA$42,$AA$48,$AA$54,$AA$60,$AA$66,$AA$72:$AA$79))*Parameters!$B$37/12</f>
        <v>19842.40162876082</v>
      </c>
      <c r="T81" s="46">
        <f>(SUM($AA$18:$AA$29)-SUM($AA$36,$AA$42,$AA$48,$AA$54,$AA$60,$AA$66,$AA$72:$AA$79))*Parameters!$B$37/12</f>
        <v>19842.40162876082</v>
      </c>
      <c r="U81" s="46">
        <f>(SUM($AA$18:$AA$29)-SUM($AA$36,$AA$42,$AA$48,$AA$54,$AA$60,$AA$66,$AA$72:$AA$79))*Parameters!$B$37/12</f>
        <v>19842.40162876082</v>
      </c>
      <c r="V81" s="46">
        <f>(SUM($AA$18:$AA$29)-SUM($AA$36,$AA$42,$AA$48,$AA$54,$AA$60,$AA$66,$AA$72:$AA$79))*Parameters!$B$37/12</f>
        <v>19842.40162876082</v>
      </c>
      <c r="W81" s="46">
        <f>(SUM($AA$18:$AA$29)-SUM($AA$36,$AA$42,$AA$48,$AA$54,$AA$60,$AA$66,$AA$72:$AA$79))*Parameters!$B$37/12</f>
        <v>19842.40162876082</v>
      </c>
      <c r="X81" s="46">
        <f>(SUM($AA$18:$AA$29)-SUM($AA$36,$AA$42,$AA$48,$AA$54,$AA$60,$AA$66,$AA$72:$AA$79))*Parameters!$B$37/12</f>
        <v>19842.40162876082</v>
      </c>
      <c r="Y81" s="46">
        <f>(SUM($AA$18:$AA$29)-SUM($AA$36,$AA$42,$AA$48,$AA$54,$AA$60,$AA$66,$AA$72:$AA$79))*Parameters!$B$37/12</f>
        <v>19842.40162876082</v>
      </c>
      <c r="Z81" s="46">
        <f>SUMIF($B$13:$Y$13,"Yes",B81:Y81)</f>
        <v>257951.2211738907</v>
      </c>
      <c r="AA81" s="46">
        <f>SUM(B81:M81)</f>
        <v>238108.8195451299</v>
      </c>
      <c r="AB81" s="46">
        <f>SUM(B81:Y81)</f>
        <v>476217.63909026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47225.59805733225</v>
      </c>
      <c r="C88" s="19">
        <f>SUM(C72:C82,C66,C60,C54,C48,C42,C36)</f>
        <v>43301.59805733225</v>
      </c>
      <c r="D88" s="19">
        <f>SUM(D72:D82,D66,D60,D54,D48,D42,D36)</f>
        <v>46101.59805733225</v>
      </c>
      <c r="E88" s="19">
        <f>SUM(E72:E82,E66,E60,E54,E48,E42,E36)</f>
        <v>45301.59805733225</v>
      </c>
      <c r="F88" s="19">
        <f>SUM(F72:F82,F66,F60,F54,F48,F42,F36)</f>
        <v>37917.22305733225</v>
      </c>
      <c r="G88" s="19">
        <f>SUM(G72:G82,G66,G60,G54,G48,G42,G36)</f>
        <v>37917.22305733225</v>
      </c>
      <c r="H88" s="19">
        <f>SUM(H72:H82,H66,H60,H54,H48,H42,H36)</f>
        <v>64179.6427807178</v>
      </c>
      <c r="I88" s="19">
        <f>SUM(I72:I82,I66,I60,I54,I48,I42,I36)</f>
        <v>29733.02662876082</v>
      </c>
      <c r="J88" s="19">
        <f>SUM(J72:J82,J66,J60,J54,J48,J42,J36)</f>
        <v>32533.02662876082</v>
      </c>
      <c r="K88" s="19">
        <f>SUM(K72:K82,K66,K60,K54,K48,K42,K36)</f>
        <v>31733.02662876082</v>
      </c>
      <c r="L88" s="19">
        <f>SUM(L72:L82,L66,L60,L54,L48,L42,L36)</f>
        <v>24348.65162876082</v>
      </c>
      <c r="M88" s="19">
        <f>SUM(M72:M82,M66,M60,M54,M48,M42,M36)</f>
        <v>24348.65162876082</v>
      </c>
      <c r="N88" s="19">
        <f>SUM(N72:N82,N66,N60,N54,N48,N42,N36)</f>
        <v>47225.59805733225</v>
      </c>
      <c r="O88" s="19">
        <f>SUM(O72:O82,O66,O60,O54,O48,O42,O36)</f>
        <v>43301.59805733225</v>
      </c>
      <c r="P88" s="19">
        <f>SUM(P72:P82,P66,P60,P54,P48,P42,P36)</f>
        <v>46101.59805733225</v>
      </c>
      <c r="Q88" s="19">
        <f>SUM(Q72:Q82,Q66,Q60,Q54,Q48,Q42,Q36)</f>
        <v>45301.59805733225</v>
      </c>
      <c r="R88" s="19">
        <f>SUM(R72:R82,R66,R60,R54,R48,R42,R36)</f>
        <v>37917.22305733225</v>
      </c>
      <c r="S88" s="19">
        <f>SUM(S72:S82,S66,S60,S54,S48,S42,S36)</f>
        <v>37917.22305733225</v>
      </c>
      <c r="T88" s="19">
        <f>SUM(T72:T82,T66,T60,T54,T48,T42,T36)</f>
        <v>64179.6427807178</v>
      </c>
      <c r="U88" s="19">
        <f>SUM(U72:U82,U66,U60,U54,U48,U42,U36)</f>
        <v>29733.02662876082</v>
      </c>
      <c r="V88" s="19">
        <f>SUM(V72:V82,V66,V60,V54,V48,V42,V36)</f>
        <v>32533.02662876082</v>
      </c>
      <c r="W88" s="19">
        <f>SUM(W72:W82,W66,W60,W54,W48,W42,W36)</f>
        <v>31733.02662876082</v>
      </c>
      <c r="X88" s="19">
        <f>SUM(X72:X82,X66,X60,X54,X48,X42,X36)</f>
        <v>24348.65162876082</v>
      </c>
      <c r="Y88" s="19">
        <f>SUM(Y72:Y82,Y66,Y60,Y54,Y48,Y42,Y36)</f>
        <v>24348.65162876082</v>
      </c>
      <c r="Z88" s="19">
        <f>SUMIF($B$13:$Y$13,"Yes",B88:Y88)</f>
        <v>511866.4623258478</v>
      </c>
      <c r="AA88" s="19">
        <f>SUM(B88:M88)</f>
        <v>464640.8642685155</v>
      </c>
      <c r="AB88" s="19">
        <f>SUM(B88:Y88)</f>
        <v>929281.728537031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75000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1300000</v>
      </c>
    </row>
    <row r="101" spans="1:30" customHeight="1" ht="15.75">
      <c r="A101" s="1" t="s">
        <v>67</v>
      </c>
      <c r="B101" s="19">
        <f>SUM(B94:B100)</f>
        <v>3445000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3</v>
      </c>
      <c r="D9" s="16"/>
      <c r="E9" s="147" t="s">
        <v>90</v>
      </c>
      <c r="F9" s="149" t="s">
        <v>91</v>
      </c>
      <c r="G9" s="147"/>
      <c r="H9" s="147" t="s">
        <v>97</v>
      </c>
      <c r="I9" s="147" t="s">
        <v>93</v>
      </c>
      <c r="J9" s="148" t="s">
        <v>94</v>
      </c>
      <c r="K9" s="138"/>
      <c r="L9" s="16"/>
      <c r="M9" s="165">
        <v>0</v>
      </c>
      <c r="N9" s="154">
        <v>2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10</v>
      </c>
      <c r="D19" s="145"/>
      <c r="E19" s="20"/>
      <c r="F19" s="145" t="s">
        <v>97</v>
      </c>
      <c r="G19" s="20"/>
      <c r="H19" s="20"/>
      <c r="I19" s="145" t="s">
        <v>112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300000</v>
      </c>
    </row>
    <row r="46" spans="1:48" customHeight="1" ht="30">
      <c r="A46" s="57" t="s">
        <v>132</v>
      </c>
      <c r="B46" s="161">
        <v>120000</v>
      </c>
    </row>
    <row r="47" spans="1:48" customHeight="1" ht="30">
      <c r="A47" s="57" t="s">
        <v>133</v>
      </c>
      <c r="B47" s="161">
        <v>75000</v>
      </c>
    </row>
    <row r="48" spans="1:48" customHeight="1" ht="30">
      <c r="A48" s="57" t="s">
        <v>134</v>
      </c>
      <c r="B48" s="161">
        <v>1300000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18000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3800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12000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5000</v>
      </c>
      <c r="B58" s="157">
        <v>0</v>
      </c>
      <c r="C58" s="164" t="s">
        <v>148</v>
      </c>
      <c r="D58" s="165" t="s">
        <v>145</v>
      </c>
      <c r="E58" s="165" t="s">
        <v>92</v>
      </c>
      <c r="F58" s="165" t="s">
        <v>146</v>
      </c>
    </row>
    <row r="59" spans="1:48">
      <c r="A59" s="157">
        <v>40000</v>
      </c>
      <c r="B59" s="157">
        <v>0</v>
      </c>
      <c r="C59" s="164" t="s">
        <v>149</v>
      </c>
      <c r="D59" s="165" t="s">
        <v>150</v>
      </c>
      <c r="E59" s="165" t="s">
        <v>92</v>
      </c>
      <c r="F59" s="165" t="s">
        <v>146</v>
      </c>
    </row>
    <row r="60" spans="1:48">
      <c r="A60" s="158">
        <v>100000</v>
      </c>
      <c r="B60" s="158">
        <v>0</v>
      </c>
      <c r="C60" s="166" t="s">
        <v>151</v>
      </c>
      <c r="D60" s="167" t="s">
        <v>145</v>
      </c>
      <c r="E60" s="167" t="s">
        <v>97</v>
      </c>
      <c r="F60" s="167" t="s">
        <v>152</v>
      </c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154</v>
      </c>
      <c r="C65" s="10" t="s">
        <v>155</v>
      </c>
    </row>
    <row r="66" spans="1:48">
      <c r="A66" s="142" t="s">
        <v>94</v>
      </c>
      <c r="B66" s="159">
        <v>300000</v>
      </c>
      <c r="C66" s="163">
        <v>260000</v>
      </c>
      <c r="D66" s="49">
        <f>INDEX(Parameters!$D$79:$D$90,MATCH(Inputs!A66,Parameters!$C$79:$C$90,0))</f>
        <v>7</v>
      </c>
    </row>
    <row r="67" spans="1:48">
      <c r="A67" s="143" t="s">
        <v>156</v>
      </c>
      <c r="B67" s="157">
        <v>50000</v>
      </c>
      <c r="C67" s="165">
        <v>72000</v>
      </c>
      <c r="D67" s="49">
        <f>INDEX(Parameters!$D$79:$D$90,MATCH(Inputs!A67,Parameters!$C$79:$C$90,0))</f>
        <v>8</v>
      </c>
    </row>
    <row r="68" spans="1:48">
      <c r="A68" s="143" t="s">
        <v>157</v>
      </c>
      <c r="B68" s="157">
        <v>23000</v>
      </c>
      <c r="C68" s="165">
        <v>45000</v>
      </c>
      <c r="D68" s="49">
        <f>INDEX(Parameters!$D$79:$D$90,MATCH(Inputs!A68,Parameters!$C$79:$C$90,0))</f>
        <v>9</v>
      </c>
    </row>
    <row r="69" spans="1:48">
      <c r="A69" s="143" t="s">
        <v>158</v>
      </c>
      <c r="B69" s="157">
        <v>40000</v>
      </c>
      <c r="C69" s="165">
        <v>55000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35000</v>
      </c>
      <c r="C70" s="165">
        <v>48000</v>
      </c>
      <c r="D70" s="49">
        <f>INDEX(Parameters!$D$79:$D$90,MATCH(Inputs!A70,Parameters!$C$79:$C$90,0))</f>
        <v>11</v>
      </c>
    </row>
    <row r="71" spans="1:48">
      <c r="A71" s="144" t="s">
        <v>160</v>
      </c>
      <c r="B71" s="158">
        <v>650000</v>
      </c>
      <c r="C71" s="167">
        <v>200000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3479.15654460647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389665.5329959246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42979</v>
      </c>
      <c r="D5" s="39">
        <f>IFERROR(DATE(YEAR(B5),MONTH(B5)+T5,DAY(B5)),"")</f>
        <v>43009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43160</v>
      </c>
      <c r="G5" s="39">
        <f>IFERROR(IF($S5=0,"",IF($S5=2,DATE(YEAR(D5),MONTH(D5)+6,DAY(D5)),IF($S5=1,D5,""))),"")</f>
        <v>43191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252633.7358737678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42917</v>
      </c>
      <c r="C6" s="39">
        <f>IFERROR(DATE(YEAR(B6),MONTH(B6)+ROUND(T6/2,0),DAY(B6)),B6)</f>
        <v>43009</v>
      </c>
      <c r="D6" s="39">
        <f>IFERROR(DATE(YEAR(B6),MONTH(B6)+T6,DAY(B6)),"")</f>
        <v>43101</v>
      </c>
      <c r="E6" s="39">
        <f>IFERROR(IF($S6=0,"",IF($S6=2,DATE(YEAR(B6),MONTH(B6)+6,DAY(B6)),IF($S6=1,B6,""))),"")</f>
        <v>42917</v>
      </c>
      <c r="F6" s="39">
        <f>IFERROR(IF($S6=0,"",IF($S6=2,DATE(YEAR(C6),MONTH(C6)+6,DAY(C6)),IF($S6=1,C6,""))),"")</f>
        <v>43009</v>
      </c>
      <c r="G6" s="39">
        <f>IFERROR(IF($S6=0,"",IF($S6=2,DATE(YEAR(D6),MONTH(D6)+6,DAY(D6)),IF($S6=1,D6,""))),"")</f>
        <v>43101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1360.293095897503</v>
      </c>
      <c r="M6" s="30">
        <f>L6*H6</f>
        <v>4080.87928769251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85698.46504154272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1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6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909.0000000000002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15000</v>
      </c>
      <c r="AA6" s="34">
        <f>IFERROR(IF(Inputs!N9&gt;0,INDEX(Parameters!$A$3:$AI$17,MATCH(Calculations!A6,Parameters!$A$3:$A$17,0),MATCH(Parameters!$R$3,Parameters!$A$3:$AI$3,0)),0)*M6/S6,0)</f>
        <v>9386.022361692772</v>
      </c>
      <c r="AB6" s="34">
        <f>H6*IFERROR(INDEX(Parameters!$A$3:$AI$17,MATCH(Calculations!A6,Parameters!$A$3:$A$17,0),MATCH(Parameters!$O$3,Parameters!$A$3:$AI$3,0)),AVERAGE(Parameters!$O$4:$O$17))*(1-Inputs!$B$25/100)</f>
        <v>34200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76666.66666666667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3800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40000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42958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42948</v>
      </c>
      <c r="F33" t="s">
        <v>166</v>
      </c>
      <c r="G33" s="128">
        <f>IF(Inputs!B79="","",DATE(YEAR(Inputs!B79),MONTH(Inputs!B79),DAY(Inputs!B79)))</f>
        <v>42927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42989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42979</v>
      </c>
      <c r="F34" t="s">
        <v>167</v>
      </c>
      <c r="G34" s="128">
        <f>IF(Inputs!B80="","",DATE(YEAR(Inputs!B80),MONTH(Inputs!B80),DAY(Inputs!B80)))</f>
        <v>42958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43019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43009</v>
      </c>
      <c r="F35" t="s">
        <v>169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43050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43040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43080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43070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43111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43101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43142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43132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43160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43201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43191</v>
      </c>
      <c r="F41" t="s">
        <v>233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43221</v>
      </c>
      <c r="F42" t="s">
        <v>234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99</v>
      </c>
      <c r="B41" s="191" t="s">
        <v>97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96</v>
      </c>
      <c r="E52" s="12" t="s">
        <v>96</v>
      </c>
      <c r="F52" s="12" t="s">
        <v>96</v>
      </c>
      <c r="G52" s="12" t="s">
        <v>318</v>
      </c>
      <c r="H52" s="12" t="s">
        <v>129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97</v>
      </c>
      <c r="F77" s="12" t="s">
        <v>97</v>
      </c>
      <c r="G77" s="12" t="s">
        <v>112</v>
      </c>
      <c r="H77" s="12" t="s">
        <v>129</v>
      </c>
      <c r="I77" s="12" t="s">
        <v>354</v>
      </c>
      <c r="J77" s="136" t="s">
        <v>355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319</v>
      </c>
      <c r="I78" s="12" t="s">
        <v>359</v>
      </c>
      <c r="J78" s="70" t="s">
        <v>360</v>
      </c>
      <c r="K78" s="12" t="s">
        <v>97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172</v>
      </c>
      <c r="J79" s="70" t="s">
        <v>365</v>
      </c>
      <c r="K79" s="12" t="s">
        <v>97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160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