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<sst xmlns="http://schemas.openxmlformats.org/spreadsheetml/2006/main" uniqueCount="369">
  <si>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</si>
  <si>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</si>
  <si>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</si>
  <si>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</si>
  <si>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</si>
  <si>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</si>
  <si>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</si>
  <si>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</si>
  <si>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</si>
  <si>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</si>
  <si>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</si>
  <si>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</si>
  <si>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</si>
  <si>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</si>
  <si>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</si>
  <si>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</si>
  <si>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</si>
  <si>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</si>
  <si>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</si>
  <si>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</si>
  <si>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</si>
  <si>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</si>
  <si>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</si>
  <si>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</si>
  <si>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</si>
  <si>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</si>
  <si>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</si>
  <si>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</si>
  <si>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</si>
  <si>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</si>
  <si>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</si>
  <si>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</si>
  <si>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</si>
  <si>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</si>
  <si>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</si>
  <si>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</si>
  <si>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</si>
  <si>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</si>
  <si>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</si>
  <si>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</si>
  <si>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</si>
  <si>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</si>
  <si>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</si>
  <si>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</si>
  <si>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</si>
  <si>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</si>
  <si>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</si>
  <si>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</si>
  <si>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</si>
  <si>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</si>
  <si>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</si>
  <si>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</si>
  <si>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</si>
  <si>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</si>
  <si>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</si>
  <si>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</si>
  <si>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</si>
  <si>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</si>
  <si>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</si>
  <si>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</si>
  <si>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</si>
  <si>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</si>
  <si>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</si>
  <si>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</si>
  <si>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</si>
  <si>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</si>
  <si>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</si>
  <si>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</si>
  <si>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</si>
  <si>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</si>
  <si>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</si>
  <si>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</si>
  <si>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</si>
  <si>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</si>
  <si>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</si>
  <si>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</si>
  <si>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</si>
  <si>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</si>
  <si>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</si>
  <si>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</si>
  <si>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</si>
  <si>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</si>
  <si>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</si>
  <si>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</si>
  <si>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</si>
  <si>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</si>
  <si>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</si>
  <si>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</si>
  <si>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</si>
  <si>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</si>
  <si>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</si>
  <si>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</si>
  <si>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no planting_trees are mature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</si>
  <si>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</si>
  <si>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</si>
  <si>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</si>
  <si>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</si>
  <si>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</si>
  <si>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</si>
  <si>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</si>
  <si>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</si>
  <si>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</si>
  <si>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</si>
  <si>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</si>
  <si>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</si>
  <si>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</si>
  <si>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</si>
  <si>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</si>
  <si>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Yes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</si>
  <si>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</si>
  <si>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</si>
  <si>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</si>
  <si>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</si>
  <si>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</si>
  <si>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</si>
  <si>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broker of courgette and capscum at karatina town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</si>
  <si>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</si>
  <si>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</si>
  <si>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</si>
  <si>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</si>
  <si>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</si>
  <si>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</si>
  <si>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</si>
  <si>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</si>
  <si>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</si>
  <si>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</si>
  <si>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</si>
  <si>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</si>
  <si>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</si>
  <si>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</si>
  <si>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</si>
  <si>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</si>
  <si>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</si>
  <si>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</si>
  <si>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</si>
  <si>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</si>
  <si>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</si>
  <si>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</si>
  <si>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</si>
  <si>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</si>
  <si>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</si>
  <si>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</si>
  <si>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</si>
  <si>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8/1/2016</t>
  </si>
  <si>
    <t>Musoni K</t>
  </si>
  <si>
    <t>64% RR- client fall into arrears 4 times two of which instalments where paid after end of day was done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</si>
  <si>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</si>
  <si>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</si>
  <si>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</si>
  <si>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</si>
  <si>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</si>
  <si>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</si>
  <si>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</si>
  <si>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</si>
  <si>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</si>
  <si>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</si>
  <si>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</si>
  <si>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2017/7/11</t>
  </si>
  <si>
    <t>Loan terms</t>
  </si>
  <si>
    <t>Expected disbursement date</t>
  </si>
  <si>
    <t>Expected first repayment date</t>
  </si>
  <si>
    <t>2017/8/11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</si>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</sst>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Cows_dairy</v>
      </c>
    </row>
    <row r="8" spans="1:7">
      <c r="B8" s="1" t="s">
        <v>4</v>
      </c>
      <c r="C8" t="str">
        <f>IF(Inputs!B29="","None",Inputs!B29)</f>
        <v>broker of courgette and capscum at karatina town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0.1772365072726902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0.09163879598662207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637334.6930666666</v>
      </c>
    </row>
    <row r="18" spans="1:7">
      <c r="B18" s="1" t="s">
        <v>12</v>
      </c>
      <c r="C18" s="36">
        <f>MIN(Output!B6:M6)</f>
        <v>48778.39613939392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55139.00219999999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48778.39613939392</v>
      </c>
      <c r="C6" s="51">
        <f>C30-C88</f>
        <v>48778.39613939392</v>
      </c>
      <c r="D6" s="51">
        <f>D30-D88</f>
        <v>48778.39613939392</v>
      </c>
      <c r="E6" s="51">
        <f>E30-E88</f>
        <v>49887.48704848484</v>
      </c>
      <c r="F6" s="51">
        <f>F30-F88</f>
        <v>55139.00219999999</v>
      </c>
      <c r="G6" s="51">
        <f>G30-G88</f>
        <v>55139.00219999999</v>
      </c>
      <c r="H6" s="51">
        <f>H30-H88</f>
        <v>55139.00219999999</v>
      </c>
      <c r="I6" s="51">
        <f>I30-I88</f>
        <v>55139.00219999999</v>
      </c>
      <c r="J6" s="51">
        <f>J30-J88</f>
        <v>55139.00219999999</v>
      </c>
      <c r="K6" s="51">
        <f>K30-K88</f>
        <v>55139.00219999999</v>
      </c>
      <c r="L6" s="51">
        <f>L30-L88</f>
        <v>55139.00219999999</v>
      </c>
      <c r="M6" s="51">
        <f>M30-M88</f>
        <v>55139.00219999999</v>
      </c>
      <c r="N6" s="51">
        <f>N30-N88</f>
        <v>55139.00219999999</v>
      </c>
      <c r="O6" s="51">
        <f>O30-O88</f>
        <v>55139.00219999999</v>
      </c>
      <c r="P6" s="51">
        <f>P30-P88</f>
        <v>55139.00219999999</v>
      </c>
      <c r="Q6" s="51">
        <f>Q30-Q88</f>
        <v>55139.00219999999</v>
      </c>
      <c r="R6" s="51">
        <f>R30-R88</f>
        <v>55139.00219999999</v>
      </c>
      <c r="S6" s="51">
        <f>S30-S88</f>
        <v>55139.00219999999</v>
      </c>
      <c r="T6" s="51">
        <f>T30-T88</f>
        <v>55139.00219999999</v>
      </c>
      <c r="U6" s="51">
        <f>U30-U88</f>
        <v>55139.00219999999</v>
      </c>
      <c r="V6" s="51">
        <f>V30-V88</f>
        <v>55139.00219999999</v>
      </c>
      <c r="W6" s="51">
        <f>W30-W88</f>
        <v>55139.00219999999</v>
      </c>
      <c r="X6" s="51">
        <f>X30-X88</f>
        <v>55139.00219999999</v>
      </c>
      <c r="Y6" s="51">
        <f>Y30-Y88</f>
        <v>55139.00219999999</v>
      </c>
      <c r="Z6" s="51">
        <f>SUMIF($B$13:$Y$13,"Yes",B6:Y6)</f>
        <v>692473.6952666666</v>
      </c>
      <c r="AA6" s="51">
        <f>AA30-AA88</f>
        <v>637334.6930666666</v>
      </c>
      <c r="AB6" s="51">
        <f>AB30-AB88</f>
        <v>1299002.719466665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13800</v>
      </c>
      <c r="I7" s="80">
        <f>IF(ISERROR(VLOOKUP(MONTH(I5),Inputs!$D$66:$D$71,1,0)),"",INDEX(Inputs!$B$66:$B$71,MATCH(MONTH(Output!I5),Inputs!$D$66:$D$71,0))-INDEX(Inputs!$C$66:$C$71,MATCH(MONTH(Output!I5),Inputs!$D$66:$D$71,0)))</f>
        <v>17550</v>
      </c>
      <c r="J7" s="80">
        <f>IF(ISERROR(VLOOKUP(MONTH(J5),Inputs!$D$66:$D$71,1,0)),"",INDEX(Inputs!$B$66:$B$71,MATCH(MONTH(Output!J5),Inputs!$D$66:$D$71,0))-INDEX(Inputs!$C$66:$C$71,MATCH(MONTH(Output!J5),Inputs!$D$66:$D$71,0)))</f>
        <v>12960</v>
      </c>
      <c r="K7" s="80">
        <f>IF(ISERROR(VLOOKUP(MONTH(K5),Inputs!$D$66:$D$71,1,0)),"",INDEX(Inputs!$B$66:$B$71,MATCH(MONTH(Output!K5),Inputs!$D$66:$D$71,0))-INDEX(Inputs!$C$66:$C$71,MATCH(MONTH(Output!K5),Inputs!$D$66:$D$71,0)))</f>
        <v>16498</v>
      </c>
      <c r="L7" s="80">
        <f>IF(ISERROR(VLOOKUP(MONTH(L5),Inputs!$D$66:$D$71,1,0)),"",INDEX(Inputs!$B$66:$B$71,MATCH(MONTH(Output!L5),Inputs!$D$66:$D$71,0))-INDEX(Inputs!$C$66:$C$71,MATCH(MONTH(Output!L5),Inputs!$D$66:$D$71,0)))</f>
        <v>18300</v>
      </c>
      <c r="M7" s="80">
        <f>IF(ISERROR(VLOOKUP(MONTH(M5),Inputs!$D$66:$D$71,1,0)),"",INDEX(Inputs!$B$66:$B$71,MATCH(MONTH(Output!M5),Inputs!$D$66:$D$71,0))-INDEX(Inputs!$C$66:$C$71,MATCH(MONTH(Output!M5),Inputs!$D$66:$D$71,0)))</f>
        <v>18750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13800</v>
      </c>
      <c r="U7" s="80">
        <f>IF(ISERROR(VLOOKUP(MONTH(U5),Inputs!$D$66:$D$71,1,0)),"",INDEX(Inputs!$B$66:$B$71,MATCH(MONTH(Output!U5),Inputs!$D$66:$D$71,0))-INDEX(Inputs!$C$66:$C$71,MATCH(MONTH(Output!U5),Inputs!$D$66:$D$71,0)))</f>
        <v>17550</v>
      </c>
      <c r="V7" s="80">
        <f>IF(ISERROR(VLOOKUP(MONTH(V5),Inputs!$D$66:$D$71,1,0)),"",INDEX(Inputs!$B$66:$B$71,MATCH(MONTH(Output!V5),Inputs!$D$66:$D$71,0))-INDEX(Inputs!$C$66:$C$71,MATCH(MONTH(Output!V5),Inputs!$D$66:$D$71,0)))</f>
        <v>12960</v>
      </c>
      <c r="W7" s="80">
        <f>IF(ISERROR(VLOOKUP(MONTH(W5),Inputs!$D$66:$D$71,1,0)),"",INDEX(Inputs!$B$66:$B$71,MATCH(MONTH(Output!W5),Inputs!$D$66:$D$71,0))-INDEX(Inputs!$C$66:$C$71,MATCH(MONTH(Output!W5),Inputs!$D$66:$D$71,0)))</f>
        <v>16498</v>
      </c>
      <c r="X7" s="80">
        <f>IF(ISERROR(VLOOKUP(MONTH(X5),Inputs!$D$66:$D$71,1,0)),"",INDEX(Inputs!$B$66:$B$71,MATCH(MONTH(Output!X5),Inputs!$D$66:$D$71,0))-INDEX(Inputs!$C$66:$C$71,MATCH(MONTH(Output!X5),Inputs!$D$66:$D$71,0)))</f>
        <v>18300</v>
      </c>
      <c r="Y7" s="80">
        <f>IF(ISERROR(VLOOKUP(MONTH(Y5),Inputs!$D$66:$D$71,1,0)),"",INDEX(Inputs!$B$66:$B$71,MATCH(MONTH(Output!Y5),Inputs!$D$66:$D$71,0))-INDEX(Inputs!$C$66:$C$71,MATCH(MONTH(Output!Y5),Inputs!$D$66:$D$71,0)))</f>
        <v>18750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168778.3961393939</v>
      </c>
      <c r="C11" s="80">
        <f>C6+C9-C10</f>
        <v>36778.39613939392</v>
      </c>
      <c r="D11" s="80">
        <f>D6+D9-D10</f>
        <v>36778.39613939392</v>
      </c>
      <c r="E11" s="80">
        <f>E6+E9-E10</f>
        <v>37887.48704848484</v>
      </c>
      <c r="F11" s="80">
        <f>F6+F9-F10</f>
        <v>43139.00219999999</v>
      </c>
      <c r="G11" s="80">
        <f>G6+G9-G10</f>
        <v>43139.00219999999</v>
      </c>
      <c r="H11" s="80">
        <f>H6+H9-H10</f>
        <v>43139.00219999999</v>
      </c>
      <c r="I11" s="80">
        <f>I6+I9-I10</f>
        <v>43139.00219999999</v>
      </c>
      <c r="J11" s="80">
        <f>J6+J9-J10</f>
        <v>43139.00219999999</v>
      </c>
      <c r="K11" s="80">
        <f>K6+K9-K10</f>
        <v>43139.00219999999</v>
      </c>
      <c r="L11" s="80">
        <f>L6+L9-L10</f>
        <v>43139.00219999999</v>
      </c>
      <c r="M11" s="80">
        <f>M6+M9-M10</f>
        <v>43139.00219999999</v>
      </c>
      <c r="N11" s="80">
        <f>N6+N9-N10</f>
        <v>43139.00219999999</v>
      </c>
      <c r="O11" s="80">
        <f>O6+O9-O10</f>
        <v>55139.00219999999</v>
      </c>
      <c r="P11" s="80">
        <f>P6+P9-P10</f>
        <v>55139.00219999999</v>
      </c>
      <c r="Q11" s="80">
        <f>Q6+Q9-Q10</f>
        <v>55139.00219999999</v>
      </c>
      <c r="R11" s="80">
        <f>R6+R9-R10</f>
        <v>55139.00219999999</v>
      </c>
      <c r="S11" s="80">
        <f>S6+S9-S10</f>
        <v>55139.00219999999</v>
      </c>
      <c r="T11" s="80">
        <f>T6+T9-T10</f>
        <v>55139.00219999999</v>
      </c>
      <c r="U11" s="80">
        <f>U6+U9-U10</f>
        <v>55139.00219999999</v>
      </c>
      <c r="V11" s="80">
        <f>V6+V9-V10</f>
        <v>55139.00219999999</v>
      </c>
      <c r="W11" s="80">
        <f>W6+W9-W10</f>
        <v>55139.00219999999</v>
      </c>
      <c r="X11" s="80">
        <f>X6+X9-X10</f>
        <v>55139.00219999999</v>
      </c>
      <c r="Y11" s="80">
        <f>Y6+Y9-Y10</f>
        <v>55139.00219999999</v>
      </c>
      <c r="Z11" s="85">
        <f>SUMIF($B$13:$Y$13,"Yes",B11:Y11)</f>
        <v>668473.6952666665</v>
      </c>
      <c r="AA11" s="80">
        <f>SUM(B11:M11)</f>
        <v>625334.6930666665</v>
      </c>
      <c r="AB11" s="46">
        <f>SUM(B11:Y11)</f>
        <v>1275002.719466666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0.05515801126826055</v>
      </c>
      <c r="D12" s="82">
        <f>IF(D13="Yes",IF(SUM($B$10:D10)/(SUM($B$6:D6)+SUM($B$9:D9))&lt;0,999.99,SUM($B$10:D10)/(SUM($B$6:D6)+SUM($B$9:D9))),"")</f>
        <v>0.09011201314606915</v>
      </c>
      <c r="E12" s="82">
        <f>IF(E13="Yes",IF(SUM($B$10:E10)/(SUM($B$6:E6)+SUM($B$9:E9))&lt;0,999.99,SUM($B$10:E10)/(SUM($B$6:E6)+SUM($B$9:E9))),"")</f>
        <v>0.1138438283936245</v>
      </c>
      <c r="F12" s="82">
        <f>IF(F13="Yes",IF(SUM($B$10:F10)/(SUM($B$6:F6)+SUM($B$9:F9))&lt;0,999.99,SUM($B$10:F10)/(SUM($B$6:F6)+SUM($B$9:F9))),"")</f>
        <v>0.1292540477024791</v>
      </c>
      <c r="G12" s="82">
        <f>IF(G13="Yes",IF(SUM($B$10:G10)/(SUM($B$6:G6)+SUM($B$9:G9))&lt;0,999.99,SUM($B$10:G10)/(SUM($B$6:G6)+SUM($B$9:G9))),"")</f>
        <v>0.1406797288547285</v>
      </c>
      <c r="H12" s="82">
        <f>IF(H13="Yes",IF(SUM($B$10:H10)/(SUM($B$6:H6)+SUM($B$9:H9))&lt;0,999.99,SUM($B$10:H10)/(SUM($B$6:H6)+SUM($B$9:H9))),"")</f>
        <v>0.1494893437580877</v>
      </c>
      <c r="I12" s="82">
        <f>IF(I13="Yes",IF(SUM($B$10:I10)/(SUM($B$6:I6)+SUM($B$9:I9))&lt;0,999.99,SUM($B$10:I10)/(SUM($B$6:I6)+SUM($B$9:I9))),"")</f>
        <v>0.1564890754087202</v>
      </c>
      <c r="J12" s="82">
        <f>IF(J13="Yes",IF(SUM($B$10:J10)/(SUM($B$6:J6)+SUM($B$9:J9))&lt;0,999.99,SUM($B$10:J10)/(SUM($B$6:J6)+SUM($B$9:J9))),"")</f>
        <v>0.1621847128323748</v>
      </c>
      <c r="K12" s="82">
        <f>IF(K13="Yes",IF(SUM($B$10:K10)/(SUM($B$6:K6)+SUM($B$9:K9))&lt;0,999.99,SUM($B$10:K10)/(SUM($B$6:K6)+SUM($B$9:K9))),"")</f>
        <v>0.1669096415996351</v>
      </c>
      <c r="L12" s="82">
        <f>IF(L13="Yes",IF(SUM($B$10:L10)/(SUM($B$6:L6)+SUM($B$9:L9))&lt;0,999.99,SUM($B$10:L10)/(SUM($B$6:L6)+SUM($B$9:L9))),"")</f>
        <v>0.1708925326099526</v>
      </c>
      <c r="M12" s="82">
        <f>IF(M13="Yes",IF(SUM($B$10:M10)/(SUM($B$6:M6)+SUM($B$9:M9))&lt;0,999.99,SUM($B$10:M10)/(SUM($B$6:M6)+SUM($B$9:M9))),"")</f>
        <v>0.1742954617138876</v>
      </c>
      <c r="N12" s="82">
        <f>IF(N13="Yes",IF(SUM($B$10:N10)/(SUM($B$6:N6)+SUM($B$9:N9))&lt;0,999.99,SUM($B$10:N10)/(SUM($B$6:N6)+SUM($B$9:N9))),"")</f>
        <v>0.1772365072726902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11567.087</v>
      </c>
      <c r="C18" s="36">
        <f>O18</f>
        <v>11567.087</v>
      </c>
      <c r="D18" s="36">
        <f>P18</f>
        <v>11567.087</v>
      </c>
      <c r="E18" s="36">
        <f>Q18</f>
        <v>11567.087</v>
      </c>
      <c r="F18" s="36">
        <f>R18</f>
        <v>11567.087</v>
      </c>
      <c r="G18" s="36">
        <f>S18</f>
        <v>11567.087</v>
      </c>
      <c r="H18" s="36">
        <f>T18</f>
        <v>11567.087</v>
      </c>
      <c r="I18" s="36">
        <f>U18</f>
        <v>11567.087</v>
      </c>
      <c r="J18" s="36">
        <f>V18</f>
        <v>11567.087</v>
      </c>
      <c r="K18" s="36">
        <f>W18</f>
        <v>11567.087</v>
      </c>
      <c r="L18" s="36">
        <f>X18</f>
        <v>11567.087</v>
      </c>
      <c r="M18" s="36">
        <f>Y18</f>
        <v>11567.087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11567.087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11567.087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11567.087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11567.087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11567.087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11567.087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11567.087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11567.087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11567.087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11567.087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11567.087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11567.087</v>
      </c>
      <c r="Z18" s="36">
        <f>SUMIF($B$13:$Y$13,"Yes",B18:Y18)</f>
        <v>150372.131</v>
      </c>
      <c r="AA18" s="36">
        <f>SUM(B18:M18)</f>
        <v>138805.044</v>
      </c>
      <c r="AB18" s="36">
        <f>SUM(B18:Y18)</f>
        <v>277610.088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72000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39600</v>
      </c>
      <c r="C24" s="36">
        <f>IFERROR(Calculations!$P14/12,"")</f>
        <v>39600</v>
      </c>
      <c r="D24" s="36">
        <f>IFERROR(Calculations!$P14/12,"")</f>
        <v>39600</v>
      </c>
      <c r="E24" s="36">
        <f>IFERROR(Calculations!$P14/12,"")</f>
        <v>39600</v>
      </c>
      <c r="F24" s="36">
        <f>IFERROR(Calculations!$P14/12,"")</f>
        <v>39600</v>
      </c>
      <c r="G24" s="36">
        <f>IFERROR(Calculations!$P14/12,"")</f>
        <v>39600</v>
      </c>
      <c r="H24" s="36">
        <f>IFERROR(Calculations!$P14/12,"")</f>
        <v>39600</v>
      </c>
      <c r="I24" s="36">
        <f>IFERROR(Calculations!$P14/12,"")</f>
        <v>39600</v>
      </c>
      <c r="J24" s="36">
        <f>IFERROR(Calculations!$P14/12,"")</f>
        <v>39600</v>
      </c>
      <c r="K24" s="36">
        <f>IFERROR(Calculations!$P14/12,"")</f>
        <v>39600</v>
      </c>
      <c r="L24" s="36">
        <f>IFERROR(Calculations!$P14/12,"")</f>
        <v>39600</v>
      </c>
      <c r="M24" s="36">
        <f>IFERROR(Calculations!$P14/12,"")</f>
        <v>39600</v>
      </c>
      <c r="N24" s="36">
        <f>IFERROR(Calculations!$P14/12,"")</f>
        <v>39600</v>
      </c>
      <c r="O24" s="36">
        <f>IFERROR(Calculations!$P14/12,"")</f>
        <v>39600</v>
      </c>
      <c r="P24" s="36">
        <f>IFERROR(Calculations!$P14/12,"")</f>
        <v>39600</v>
      </c>
      <c r="Q24" s="36">
        <f>IFERROR(Calculations!$P14/12,"")</f>
        <v>39600</v>
      </c>
      <c r="R24" s="36">
        <f>IFERROR(Calculations!$P14/12,"")</f>
        <v>39600</v>
      </c>
      <c r="S24" s="36">
        <f>IFERROR(Calculations!$P14/12,"")</f>
        <v>39600</v>
      </c>
      <c r="T24" s="36">
        <f>IFERROR(Calculations!$P14/12,"")</f>
        <v>39600</v>
      </c>
      <c r="U24" s="36">
        <f>IFERROR(Calculations!$P14/12,"")</f>
        <v>39600</v>
      </c>
      <c r="V24" s="36">
        <f>IFERROR(Calculations!$P14/12,"")</f>
        <v>39600</v>
      </c>
      <c r="W24" s="36">
        <f>IFERROR(Calculations!$P14/12,"")</f>
        <v>39600</v>
      </c>
      <c r="X24" s="36">
        <f>IFERROR(Calculations!$P14/12,"")</f>
        <v>39600</v>
      </c>
      <c r="Y24" s="36">
        <f>IFERROR(Calculations!$P14/12,"")</f>
        <v>39600</v>
      </c>
      <c r="Z24" s="36">
        <f>SUMIF($B$13:$Y$13,"Yes",B24:Y24)</f>
        <v>514800</v>
      </c>
      <c r="AA24" s="36">
        <f>SUM(B24:M24)</f>
        <v>475200</v>
      </c>
      <c r="AB24" s="46">
        <f>SUM(B24:Y24)</f>
        <v>950400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31937.5</v>
      </c>
      <c r="C25" s="36">
        <f>IFERROR(Calculations!$P15/12,"")</f>
        <v>31937.5</v>
      </c>
      <c r="D25" s="36">
        <f>IFERROR(Calculations!$P15/12,"")</f>
        <v>31937.5</v>
      </c>
      <c r="E25" s="36">
        <f>IFERROR(Calculations!$P15/12,"")</f>
        <v>31937.5</v>
      </c>
      <c r="F25" s="36">
        <f>IFERROR(Calculations!$P15/12,"")</f>
        <v>31937.5</v>
      </c>
      <c r="G25" s="36">
        <f>IFERROR(Calculations!$P15/12,"")</f>
        <v>31937.5</v>
      </c>
      <c r="H25" s="36">
        <f>IFERROR(Calculations!$P15/12,"")</f>
        <v>31937.5</v>
      </c>
      <c r="I25" s="36">
        <f>IFERROR(Calculations!$P15/12,"")</f>
        <v>31937.5</v>
      </c>
      <c r="J25" s="36">
        <f>IFERROR(Calculations!$P15/12,"")</f>
        <v>31937.5</v>
      </c>
      <c r="K25" s="36">
        <f>IFERROR(Calculations!$P15/12,"")</f>
        <v>31937.5</v>
      </c>
      <c r="L25" s="36">
        <f>IFERROR(Calculations!$P15/12,"")</f>
        <v>31937.5</v>
      </c>
      <c r="M25" s="36">
        <f>IFERROR(Calculations!$P15/12,"")</f>
        <v>31937.5</v>
      </c>
      <c r="N25" s="36">
        <f>IFERROR(Calculations!$P15/12,"")</f>
        <v>31937.5</v>
      </c>
      <c r="O25" s="36">
        <f>IFERROR(Calculations!$P15/12,"")</f>
        <v>31937.5</v>
      </c>
      <c r="P25" s="36">
        <f>IFERROR(Calculations!$P15/12,"")</f>
        <v>31937.5</v>
      </c>
      <c r="Q25" s="36">
        <f>IFERROR(Calculations!$P15/12,"")</f>
        <v>31937.5</v>
      </c>
      <c r="R25" s="36">
        <f>IFERROR(Calculations!$P15/12,"")</f>
        <v>31937.5</v>
      </c>
      <c r="S25" s="36">
        <f>IFERROR(Calculations!$P15/12,"")</f>
        <v>31937.5</v>
      </c>
      <c r="T25" s="36">
        <f>IFERROR(Calculations!$P15/12,"")</f>
        <v>31937.5</v>
      </c>
      <c r="U25" s="36">
        <f>IFERROR(Calculations!$P15/12,"")</f>
        <v>31937.5</v>
      </c>
      <c r="V25" s="36">
        <f>IFERROR(Calculations!$P15/12,"")</f>
        <v>31937.5</v>
      </c>
      <c r="W25" s="36">
        <f>IFERROR(Calculations!$P15/12,"")</f>
        <v>31937.5</v>
      </c>
      <c r="X25" s="36">
        <f>IFERROR(Calculations!$P15/12,"")</f>
        <v>31937.5</v>
      </c>
      <c r="Y25" s="36">
        <f>IFERROR(Calculations!$P15/12,"")</f>
        <v>31937.5</v>
      </c>
      <c r="Z25" s="36">
        <f>SUMIF($B$13:$Y$13,"Yes",B25:Y25)</f>
        <v>415187.4999999999</v>
      </c>
      <c r="AA25" s="36">
        <f>SUM(B25:M25)</f>
        <v>383249.9999999999</v>
      </c>
      <c r="AB25" s="46">
        <f>SUM(B25:Y25)</f>
        <v>766499.9999999999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845000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148104.587</v>
      </c>
      <c r="C30" s="19">
        <f>SUM(C18:C29)</f>
        <v>148104.587</v>
      </c>
      <c r="D30" s="19">
        <f>SUM(D18:D29)</f>
        <v>148104.587</v>
      </c>
      <c r="E30" s="19">
        <f>SUM(E18:E29)</f>
        <v>148104.587</v>
      </c>
      <c r="F30" s="19">
        <f>SUM(F18:F29)</f>
        <v>148104.587</v>
      </c>
      <c r="G30" s="19">
        <f>SUM(G18:G29)</f>
        <v>148104.587</v>
      </c>
      <c r="H30" s="19">
        <f>SUM(H18:H29)</f>
        <v>148104.587</v>
      </c>
      <c r="I30" s="19">
        <f>SUM(I18:I29)</f>
        <v>148104.587</v>
      </c>
      <c r="J30" s="19">
        <f>SUM(J18:J29)</f>
        <v>148104.587</v>
      </c>
      <c r="K30" s="19">
        <f>SUM(K18:K29)</f>
        <v>148104.587</v>
      </c>
      <c r="L30" s="19">
        <f>SUM(L18:L29)</f>
        <v>148104.587</v>
      </c>
      <c r="M30" s="19">
        <f>SUM(M18:M29)</f>
        <v>148104.587</v>
      </c>
      <c r="N30" s="19">
        <f>SUM(N18:N29)</f>
        <v>148104.587</v>
      </c>
      <c r="O30" s="19">
        <f>SUM(O18:O29)</f>
        <v>148104.587</v>
      </c>
      <c r="P30" s="19">
        <f>SUM(P18:P29)</f>
        <v>148104.587</v>
      </c>
      <c r="Q30" s="19">
        <f>SUM(Q18:Q29)</f>
        <v>148104.587</v>
      </c>
      <c r="R30" s="19">
        <f>SUM(R18:R29)</f>
        <v>148104.587</v>
      </c>
      <c r="S30" s="19">
        <f>SUM(S18:S29)</f>
        <v>148104.587</v>
      </c>
      <c r="T30" s="19">
        <f>SUM(T18:T29)</f>
        <v>148104.587</v>
      </c>
      <c r="U30" s="19">
        <f>SUM(U18:U29)</f>
        <v>148104.587</v>
      </c>
      <c r="V30" s="19">
        <f>SUM(V18:V29)</f>
        <v>148104.587</v>
      </c>
      <c r="W30" s="19">
        <f>SUM(W18:W29)</f>
        <v>148104.587</v>
      </c>
      <c r="X30" s="19">
        <f>SUM(X18:X29)</f>
        <v>148104.587</v>
      </c>
      <c r="Y30" s="19">
        <f>SUM(Y18:Y29)</f>
        <v>148104.587</v>
      </c>
      <c r="Z30" s="19">
        <f>SUMIF($B$13:$Y$13,"Yes",B30:Y30)</f>
        <v>1925359.631000001</v>
      </c>
      <c r="AA30" s="19">
        <f>SUM(B30:M30)</f>
        <v>1777255.044</v>
      </c>
      <c r="AB30" s="19">
        <f>SUM(B30:Y30)</f>
        <v>3554510.087999999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Bananas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843.75</v>
      </c>
      <c r="C66" s="36">
        <f>O66</f>
        <v>843.75</v>
      </c>
      <c r="D66" s="36">
        <f>P66</f>
        <v>843.75</v>
      </c>
      <c r="E66" s="36">
        <f>Q66</f>
        <v>843.75</v>
      </c>
      <c r="F66" s="36">
        <f>R66</f>
        <v>843.75</v>
      </c>
      <c r="G66" s="36">
        <f>S66</f>
        <v>843.75</v>
      </c>
      <c r="H66" s="36">
        <f>T66</f>
        <v>843.75</v>
      </c>
      <c r="I66" s="36">
        <f>U66</f>
        <v>843.75</v>
      </c>
      <c r="J66" s="36">
        <f>V66</f>
        <v>843.75</v>
      </c>
      <c r="K66" s="36">
        <f>W66</f>
        <v>843.75</v>
      </c>
      <c r="L66" s="36">
        <f>X66</f>
        <v>843.75</v>
      </c>
      <c r="M66" s="36">
        <f>Y66</f>
        <v>843.75</v>
      </c>
      <c r="N66" s="46">
        <f>SUM(N67:N71)</f>
        <v>843.75</v>
      </c>
      <c r="O66" s="46">
        <f>SUM(O67:O71)</f>
        <v>843.75</v>
      </c>
      <c r="P66" s="46">
        <f>SUM(P67:P71)</f>
        <v>843.75</v>
      </c>
      <c r="Q66" s="46">
        <f>SUM(Q67:Q71)</f>
        <v>843.75</v>
      </c>
      <c r="R66" s="46">
        <f>SUM(R67:R71)</f>
        <v>843.75</v>
      </c>
      <c r="S66" s="46">
        <f>SUM(S67:S71)</f>
        <v>843.75</v>
      </c>
      <c r="T66" s="46">
        <f>SUM(T67:T71)</f>
        <v>843.75</v>
      </c>
      <c r="U66" s="46">
        <f>SUM(U67:U71)</f>
        <v>843.75</v>
      </c>
      <c r="V66" s="46">
        <f>SUM(V67:V71)</f>
        <v>843.75</v>
      </c>
      <c r="W66" s="46">
        <f>SUM(W67:W71)</f>
        <v>843.75</v>
      </c>
      <c r="X66" s="46">
        <f>SUM(X67:X71)</f>
        <v>843.75</v>
      </c>
      <c r="Y66" s="46">
        <f>SUM(Y67:Y71)</f>
        <v>843.75</v>
      </c>
      <c r="Z66" s="46">
        <f>SUMIF($B$13:$Y$13,"Yes",B66:Y66)</f>
        <v>10968.75</v>
      </c>
      <c r="AA66" s="46">
        <f>SUM(B66:M66)</f>
        <v>10125</v>
      </c>
      <c r="AB66" s="46">
        <f>SUM(B66:Y66)</f>
        <v>20250</v>
      </c>
    </row>
    <row r="67" spans="1:30" hidden="true" outlineLevel="1">
      <c r="A67" s="181" t="str">
        <f>Calculations!$A$4</f>
        <v>Bananas</v>
      </c>
      <c r="B67" s="36">
        <f>N67</f>
        <v>843.75</v>
      </c>
      <c r="C67" s="36">
        <f>O67</f>
        <v>843.75</v>
      </c>
      <c r="D67" s="36">
        <f>P67</f>
        <v>843.75</v>
      </c>
      <c r="E67" s="36">
        <f>Q67</f>
        <v>843.75</v>
      </c>
      <c r="F67" s="36">
        <f>R67</f>
        <v>843.75</v>
      </c>
      <c r="G67" s="36">
        <f>S67</f>
        <v>843.75</v>
      </c>
      <c r="H67" s="36">
        <f>T67</f>
        <v>843.75</v>
      </c>
      <c r="I67" s="36">
        <f>U67</f>
        <v>843.75</v>
      </c>
      <c r="J67" s="36">
        <f>V67</f>
        <v>843.75</v>
      </c>
      <c r="K67" s="36">
        <f>W67</f>
        <v>843.75</v>
      </c>
      <c r="L67" s="36">
        <f>X67</f>
        <v>843.75</v>
      </c>
      <c r="M67" s="36">
        <f>Y67</f>
        <v>843.75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843.75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843.75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843.75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843.75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843.75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843.75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843.75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843.75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843.75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843.75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843.75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843.75</v>
      </c>
      <c r="Z67" s="46">
        <f>SUMIF($B$13:$Y$13,"Yes",B67:Y67)</f>
        <v>10968.75</v>
      </c>
      <c r="AA67" s="46">
        <f>SUM(B67:M67)</f>
        <v>10125</v>
      </c>
      <c r="AB67" s="46">
        <f>SUM(B67:Y67)</f>
        <v>20250</v>
      </c>
    </row>
    <row r="68" spans="1:30" hidden="true" outlineLevel="1">
      <c r="A68" s="181" t="str">
        <f>Calculations!$A$5</f>
        <v>Bananas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6995.833333333333</v>
      </c>
      <c r="C74" s="46">
        <f>SUM(Calculations!$Q$14:$Q$16)/12</f>
        <v>6995.833333333333</v>
      </c>
      <c r="D74" s="46">
        <f>SUM(Calculations!$Q$14:$Q$16)/12</f>
        <v>6995.833333333333</v>
      </c>
      <c r="E74" s="46">
        <f>SUM(Calculations!$Q$14:$Q$16)/12</f>
        <v>6995.833333333333</v>
      </c>
      <c r="F74" s="46">
        <f>SUM(Calculations!$Q$14:$Q$16)/12</f>
        <v>6995.833333333333</v>
      </c>
      <c r="G74" s="46">
        <f>SUM(Calculations!$Q$14:$Q$16)/12</f>
        <v>6995.833333333333</v>
      </c>
      <c r="H74" s="46">
        <f>SUM(Calculations!$Q$14:$Q$16)/12</f>
        <v>6995.833333333333</v>
      </c>
      <c r="I74" s="46">
        <f>SUM(Calculations!$Q$14:$Q$16)/12</f>
        <v>6995.833333333333</v>
      </c>
      <c r="J74" s="46">
        <f>SUM(Calculations!$Q$14:$Q$16)/12</f>
        <v>6995.833333333333</v>
      </c>
      <c r="K74" s="46">
        <f>SUM(Calculations!$Q$14:$Q$16)/12</f>
        <v>6995.833333333333</v>
      </c>
      <c r="L74" s="46">
        <f>SUM(Calculations!$Q$14:$Q$16)/12</f>
        <v>6995.833333333333</v>
      </c>
      <c r="M74" s="46">
        <f>SUM(Calculations!$Q$14:$Q$16)/12</f>
        <v>6995.833333333333</v>
      </c>
      <c r="N74" s="46">
        <f>SUM(Calculations!$Q$14:$Q$16)/12</f>
        <v>6995.833333333333</v>
      </c>
      <c r="O74" s="46">
        <f>SUM(Calculations!$Q$14:$Q$16)/12</f>
        <v>6995.833333333333</v>
      </c>
      <c r="P74" s="46">
        <f>SUM(Calculations!$Q$14:$Q$16)/12</f>
        <v>6995.833333333333</v>
      </c>
      <c r="Q74" s="46">
        <f>SUM(Calculations!$Q$14:$Q$16)/12</f>
        <v>6995.833333333333</v>
      </c>
      <c r="R74" s="46">
        <f>SUM(Calculations!$Q$14:$Q$16)/12</f>
        <v>6995.833333333333</v>
      </c>
      <c r="S74" s="46">
        <f>SUM(Calculations!$Q$14:$Q$16)/12</f>
        <v>6995.833333333333</v>
      </c>
      <c r="T74" s="46">
        <f>SUM(Calculations!$Q$14:$Q$16)/12</f>
        <v>6995.833333333333</v>
      </c>
      <c r="U74" s="46">
        <f>SUM(Calculations!$Q$14:$Q$16)/12</f>
        <v>6995.833333333333</v>
      </c>
      <c r="V74" s="46">
        <f>SUM(Calculations!$Q$14:$Q$16)/12</f>
        <v>6995.833333333333</v>
      </c>
      <c r="W74" s="46">
        <f>SUM(Calculations!$Q$14:$Q$16)/12</f>
        <v>6995.833333333333</v>
      </c>
      <c r="X74" s="46">
        <f>SUM(Calculations!$Q$14:$Q$16)/12</f>
        <v>6995.833333333333</v>
      </c>
      <c r="Y74" s="46">
        <f>SUM(Calculations!$Q$14:$Q$16)/12</f>
        <v>6995.833333333333</v>
      </c>
      <c r="Z74" s="46">
        <f>SUMIF($B$13:$Y$13,"Yes",B74:Y74)</f>
        <v>90945.83333333333</v>
      </c>
      <c r="AA74" s="46">
        <f>SUM(B74:M74)</f>
        <v>83950</v>
      </c>
      <c r="AB74" s="46">
        <f>SUM(B74:Y74)</f>
        <v>167900</v>
      </c>
    </row>
    <row r="75" spans="1:30">
      <c r="A75" s="16" t="s">
        <v>47</v>
      </c>
      <c r="B75" s="46">
        <f>SUM(Calculations!$R$14:$R$16)/12</f>
        <v>366.6666666666667</v>
      </c>
      <c r="C75" s="46">
        <f>SUM(Calculations!$R$14:$R$16)/12</f>
        <v>366.6666666666667</v>
      </c>
      <c r="D75" s="46">
        <f>SUM(Calculations!$R$14:$R$16)/12</f>
        <v>366.6666666666667</v>
      </c>
      <c r="E75" s="46">
        <f>SUM(Calculations!$R$14:$R$16)/12</f>
        <v>366.6666666666667</v>
      </c>
      <c r="F75" s="46">
        <f>SUM(Calculations!$R$14:$R$16)/12</f>
        <v>366.6666666666667</v>
      </c>
      <c r="G75" s="46">
        <f>SUM(Calculations!$R$14:$R$16)/12</f>
        <v>366.6666666666667</v>
      </c>
      <c r="H75" s="46">
        <f>SUM(Calculations!$R$14:$R$16)/12</f>
        <v>366.6666666666667</v>
      </c>
      <c r="I75" s="46">
        <f>SUM(Calculations!$R$14:$R$16)/12</f>
        <v>366.6666666666667</v>
      </c>
      <c r="J75" s="46">
        <f>SUM(Calculations!$R$14:$R$16)/12</f>
        <v>366.6666666666667</v>
      </c>
      <c r="K75" s="46">
        <f>SUM(Calculations!$R$14:$R$16)/12</f>
        <v>366.6666666666667</v>
      </c>
      <c r="L75" s="46">
        <f>SUM(Calculations!$R$14:$R$16)/12</f>
        <v>366.6666666666667</v>
      </c>
      <c r="M75" s="46">
        <f>SUM(Calculations!$R$14:$R$16)/12</f>
        <v>366.6666666666667</v>
      </c>
      <c r="N75" s="46">
        <f>SUM(Calculations!$R$14:$R$16)/12</f>
        <v>366.6666666666667</v>
      </c>
      <c r="O75" s="46">
        <f>SUM(Calculations!$R$14:$R$16)/12</f>
        <v>366.6666666666667</v>
      </c>
      <c r="P75" s="46">
        <f>SUM(Calculations!$R$14:$R$16)/12</f>
        <v>366.6666666666667</v>
      </c>
      <c r="Q75" s="46">
        <f>SUM(Calculations!$R$14:$R$16)/12</f>
        <v>366.6666666666667</v>
      </c>
      <c r="R75" s="46">
        <f>SUM(Calculations!$R$14:$R$16)/12</f>
        <v>366.6666666666667</v>
      </c>
      <c r="S75" s="46">
        <f>SUM(Calculations!$R$14:$R$16)/12</f>
        <v>366.6666666666667</v>
      </c>
      <c r="T75" s="46">
        <f>SUM(Calculations!$R$14:$R$16)/12</f>
        <v>366.6666666666667</v>
      </c>
      <c r="U75" s="46">
        <f>SUM(Calculations!$R$14:$R$16)/12</f>
        <v>366.6666666666667</v>
      </c>
      <c r="V75" s="46">
        <f>SUM(Calculations!$R$14:$R$16)/12</f>
        <v>366.6666666666667</v>
      </c>
      <c r="W75" s="46">
        <f>SUM(Calculations!$R$14:$R$16)/12</f>
        <v>366.6666666666667</v>
      </c>
      <c r="X75" s="46">
        <f>SUM(Calculations!$R$14:$R$16)/12</f>
        <v>366.6666666666667</v>
      </c>
      <c r="Y75" s="46">
        <f>SUM(Calculations!$R$14:$R$16)/12</f>
        <v>366.6666666666667</v>
      </c>
      <c r="Z75" s="46">
        <f>SUMIF($B$13:$Y$13,"Yes",B75:Y75)</f>
        <v>4766.666666666666</v>
      </c>
      <c r="AA75" s="46">
        <f>SUM(B75:M75)</f>
        <v>4399.999999999999</v>
      </c>
      <c r="AB75" s="46">
        <f>SUM(B75:Y75)</f>
        <v>8800.000000000002</v>
      </c>
    </row>
    <row r="76" spans="1:30">
      <c r="A76" s="16" t="s">
        <v>48</v>
      </c>
      <c r="B76" s="46">
        <f>SUM(Calculations!$S$14:$S$16)/12</f>
        <v>3000</v>
      </c>
      <c r="C76" s="46">
        <f>SUM(Calculations!$S$14:$S$16)/12</f>
        <v>3000</v>
      </c>
      <c r="D76" s="46">
        <f>SUM(Calculations!$S$14:$S$16)/12</f>
        <v>3000</v>
      </c>
      <c r="E76" s="46">
        <f>SUM(Calculations!$S$14:$S$16)/12</f>
        <v>3000</v>
      </c>
      <c r="F76" s="46">
        <f>SUM(Calculations!$S$14:$S$16)/12</f>
        <v>3000</v>
      </c>
      <c r="G76" s="46">
        <f>SUM(Calculations!$S$14:$S$16)/12</f>
        <v>3000</v>
      </c>
      <c r="H76" s="46">
        <f>SUM(Calculations!$S$14:$S$16)/12</f>
        <v>3000</v>
      </c>
      <c r="I76" s="46">
        <f>SUM(Calculations!$S$14:$S$16)/12</f>
        <v>3000</v>
      </c>
      <c r="J76" s="46">
        <f>SUM(Calculations!$S$14:$S$16)/12</f>
        <v>3000</v>
      </c>
      <c r="K76" s="46">
        <f>SUM(Calculations!$S$14:$S$16)/12</f>
        <v>3000</v>
      </c>
      <c r="L76" s="46">
        <f>SUM(Calculations!$S$14:$S$16)/12</f>
        <v>3000</v>
      </c>
      <c r="M76" s="46">
        <f>SUM(Calculations!$S$14:$S$16)/12</f>
        <v>3000</v>
      </c>
      <c r="N76" s="46">
        <f>SUM(Calculations!$S$14:$S$16)/12</f>
        <v>3000</v>
      </c>
      <c r="O76" s="46">
        <f>SUM(Calculations!$S$14:$S$16)/12</f>
        <v>3000</v>
      </c>
      <c r="P76" s="46">
        <f>SUM(Calculations!$S$14:$S$16)/12</f>
        <v>3000</v>
      </c>
      <c r="Q76" s="46">
        <f>SUM(Calculations!$S$14:$S$16)/12</f>
        <v>3000</v>
      </c>
      <c r="R76" s="46">
        <f>SUM(Calculations!$S$14:$S$16)/12</f>
        <v>3000</v>
      </c>
      <c r="S76" s="46">
        <f>SUM(Calculations!$S$14:$S$16)/12</f>
        <v>3000</v>
      </c>
      <c r="T76" s="46">
        <f>SUM(Calculations!$S$14:$S$16)/12</f>
        <v>3000</v>
      </c>
      <c r="U76" s="46">
        <f>SUM(Calculations!$S$14:$S$16)/12</f>
        <v>3000</v>
      </c>
      <c r="V76" s="46">
        <f>SUM(Calculations!$S$14:$S$16)/12</f>
        <v>3000</v>
      </c>
      <c r="W76" s="46">
        <f>SUM(Calculations!$S$14:$S$16)/12</f>
        <v>3000</v>
      </c>
      <c r="X76" s="46">
        <f>SUM(Calculations!$S$14:$S$16)/12</f>
        <v>3000</v>
      </c>
      <c r="Y76" s="46">
        <f>SUM(Calculations!$S$14:$S$16)/12</f>
        <v>3000</v>
      </c>
      <c r="Z76" s="46">
        <f>SUMIF($B$13:$Y$13,"Yes",B76:Y76)</f>
        <v>39000</v>
      </c>
      <c r="AA76" s="46">
        <f>SUM(B76:M76)</f>
        <v>36000</v>
      </c>
      <c r="AB76" s="46">
        <f>SUM(B76:Y76)</f>
        <v>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45000</v>
      </c>
      <c r="C79" s="46">
        <f>Inputs!$B$31</f>
        <v>45000</v>
      </c>
      <c r="D79" s="46">
        <f>Inputs!$B$31</f>
        <v>45000</v>
      </c>
      <c r="E79" s="46">
        <f>Inputs!$B$31</f>
        <v>45000</v>
      </c>
      <c r="F79" s="46">
        <f>Inputs!$B$31</f>
        <v>45000</v>
      </c>
      <c r="G79" s="46">
        <f>Inputs!$B$31</f>
        <v>45000</v>
      </c>
      <c r="H79" s="46">
        <f>Inputs!$B$31</f>
        <v>45000</v>
      </c>
      <c r="I79" s="46">
        <f>Inputs!$B$31</f>
        <v>45000</v>
      </c>
      <c r="J79" s="46">
        <f>Inputs!$B$31</f>
        <v>45000</v>
      </c>
      <c r="K79" s="46">
        <f>Inputs!$B$31</f>
        <v>45000</v>
      </c>
      <c r="L79" s="46">
        <f>Inputs!$B$31</f>
        <v>45000</v>
      </c>
      <c r="M79" s="46">
        <f>Inputs!$B$31</f>
        <v>45000</v>
      </c>
      <c r="N79" s="46">
        <f>Inputs!$B$31</f>
        <v>45000</v>
      </c>
      <c r="O79" s="46">
        <f>Inputs!$B$31</f>
        <v>45000</v>
      </c>
      <c r="P79" s="46">
        <f>Inputs!$B$31</f>
        <v>45000</v>
      </c>
      <c r="Q79" s="46">
        <f>Inputs!$B$31</f>
        <v>45000</v>
      </c>
      <c r="R79" s="46">
        <f>Inputs!$B$31</f>
        <v>45000</v>
      </c>
      <c r="S79" s="46">
        <f>Inputs!$B$31</f>
        <v>45000</v>
      </c>
      <c r="T79" s="46">
        <f>Inputs!$B$31</f>
        <v>45000</v>
      </c>
      <c r="U79" s="46">
        <f>Inputs!$B$31</f>
        <v>45000</v>
      </c>
      <c r="V79" s="46">
        <f>Inputs!$B$31</f>
        <v>45000</v>
      </c>
      <c r="W79" s="46">
        <f>Inputs!$B$31</f>
        <v>45000</v>
      </c>
      <c r="X79" s="46">
        <f>Inputs!$B$31</f>
        <v>45000</v>
      </c>
      <c r="Y79" s="46">
        <f>Inputs!$B$31</f>
        <v>45000</v>
      </c>
      <c r="Z79" s="46">
        <f>SUMIF($B$13:$Y$13,"Yes",B79:Y79)</f>
        <v>585000</v>
      </c>
      <c r="AA79" s="46">
        <f>SUM(B79:M79)</f>
        <v>540000</v>
      </c>
      <c r="AB79" s="46">
        <f>SUM(B79:Y79)</f>
        <v>1080000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36759.3348</v>
      </c>
      <c r="C81" s="46">
        <f>(SUM($AA$18:$AA$29)-SUM($AA$36,$AA$42,$AA$48,$AA$54,$AA$60,$AA$66,$AA$72:$AA$79))*Parameters!$B$37/12</f>
        <v>36759.3348</v>
      </c>
      <c r="D81" s="46">
        <f>(SUM($AA$18:$AA$29)-SUM($AA$36,$AA$42,$AA$48,$AA$54,$AA$60,$AA$66,$AA$72:$AA$79))*Parameters!$B$37/12</f>
        <v>36759.3348</v>
      </c>
      <c r="E81" s="46">
        <f>(SUM($AA$18:$AA$29)-SUM($AA$36,$AA$42,$AA$48,$AA$54,$AA$60,$AA$66,$AA$72:$AA$79))*Parameters!$B$37/12</f>
        <v>36759.3348</v>
      </c>
      <c r="F81" s="46">
        <f>(SUM($AA$18:$AA$29)-SUM($AA$36,$AA$42,$AA$48,$AA$54,$AA$60,$AA$66,$AA$72:$AA$79))*Parameters!$B$37/12</f>
        <v>36759.3348</v>
      </c>
      <c r="G81" s="46">
        <f>(SUM($AA$18:$AA$29)-SUM($AA$36,$AA$42,$AA$48,$AA$54,$AA$60,$AA$66,$AA$72:$AA$79))*Parameters!$B$37/12</f>
        <v>36759.3348</v>
      </c>
      <c r="H81" s="46">
        <f>(SUM($AA$18:$AA$29)-SUM($AA$36,$AA$42,$AA$48,$AA$54,$AA$60,$AA$66,$AA$72:$AA$79))*Parameters!$B$37/12</f>
        <v>36759.3348</v>
      </c>
      <c r="I81" s="46">
        <f>(SUM($AA$18:$AA$29)-SUM($AA$36,$AA$42,$AA$48,$AA$54,$AA$60,$AA$66,$AA$72:$AA$79))*Parameters!$B$37/12</f>
        <v>36759.3348</v>
      </c>
      <c r="J81" s="46">
        <f>(SUM($AA$18:$AA$29)-SUM($AA$36,$AA$42,$AA$48,$AA$54,$AA$60,$AA$66,$AA$72:$AA$79))*Parameters!$B$37/12</f>
        <v>36759.3348</v>
      </c>
      <c r="K81" s="46">
        <f>(SUM($AA$18:$AA$29)-SUM($AA$36,$AA$42,$AA$48,$AA$54,$AA$60,$AA$66,$AA$72:$AA$79))*Parameters!$B$37/12</f>
        <v>36759.3348</v>
      </c>
      <c r="L81" s="46">
        <f>(SUM($AA$18:$AA$29)-SUM($AA$36,$AA$42,$AA$48,$AA$54,$AA$60,$AA$66,$AA$72:$AA$79))*Parameters!$B$37/12</f>
        <v>36759.3348</v>
      </c>
      <c r="M81" s="46">
        <f>(SUM($AA$18:$AA$29)-SUM($AA$36,$AA$42,$AA$48,$AA$54,$AA$60,$AA$66,$AA$72:$AA$79))*Parameters!$B$37/12</f>
        <v>36759.3348</v>
      </c>
      <c r="N81" s="46">
        <f>(SUM($AA$18:$AA$29)-SUM($AA$36,$AA$42,$AA$48,$AA$54,$AA$60,$AA$66,$AA$72:$AA$79))*Parameters!$B$37/12</f>
        <v>36759.3348</v>
      </c>
      <c r="O81" s="46">
        <f>(SUM($AA$18:$AA$29)-SUM($AA$36,$AA$42,$AA$48,$AA$54,$AA$60,$AA$66,$AA$72:$AA$79))*Parameters!$B$37/12</f>
        <v>36759.3348</v>
      </c>
      <c r="P81" s="46">
        <f>(SUM($AA$18:$AA$29)-SUM($AA$36,$AA$42,$AA$48,$AA$54,$AA$60,$AA$66,$AA$72:$AA$79))*Parameters!$B$37/12</f>
        <v>36759.3348</v>
      </c>
      <c r="Q81" s="46">
        <f>(SUM($AA$18:$AA$29)-SUM($AA$36,$AA$42,$AA$48,$AA$54,$AA$60,$AA$66,$AA$72:$AA$79))*Parameters!$B$37/12</f>
        <v>36759.3348</v>
      </c>
      <c r="R81" s="46">
        <f>(SUM($AA$18:$AA$29)-SUM($AA$36,$AA$42,$AA$48,$AA$54,$AA$60,$AA$66,$AA$72:$AA$79))*Parameters!$B$37/12</f>
        <v>36759.3348</v>
      </c>
      <c r="S81" s="46">
        <f>(SUM($AA$18:$AA$29)-SUM($AA$36,$AA$42,$AA$48,$AA$54,$AA$60,$AA$66,$AA$72:$AA$79))*Parameters!$B$37/12</f>
        <v>36759.3348</v>
      </c>
      <c r="T81" s="46">
        <f>(SUM($AA$18:$AA$29)-SUM($AA$36,$AA$42,$AA$48,$AA$54,$AA$60,$AA$66,$AA$72:$AA$79))*Parameters!$B$37/12</f>
        <v>36759.3348</v>
      </c>
      <c r="U81" s="46">
        <f>(SUM($AA$18:$AA$29)-SUM($AA$36,$AA$42,$AA$48,$AA$54,$AA$60,$AA$66,$AA$72:$AA$79))*Parameters!$B$37/12</f>
        <v>36759.3348</v>
      </c>
      <c r="V81" s="46">
        <f>(SUM($AA$18:$AA$29)-SUM($AA$36,$AA$42,$AA$48,$AA$54,$AA$60,$AA$66,$AA$72:$AA$79))*Parameters!$B$37/12</f>
        <v>36759.3348</v>
      </c>
      <c r="W81" s="46">
        <f>(SUM($AA$18:$AA$29)-SUM($AA$36,$AA$42,$AA$48,$AA$54,$AA$60,$AA$66,$AA$72:$AA$79))*Parameters!$B$37/12</f>
        <v>36759.3348</v>
      </c>
      <c r="X81" s="46">
        <f>(SUM($AA$18:$AA$29)-SUM($AA$36,$AA$42,$AA$48,$AA$54,$AA$60,$AA$66,$AA$72:$AA$79))*Parameters!$B$37/12</f>
        <v>36759.3348</v>
      </c>
      <c r="Y81" s="46">
        <f>(SUM($AA$18:$AA$29)-SUM($AA$36,$AA$42,$AA$48,$AA$54,$AA$60,$AA$66,$AA$72:$AA$79))*Parameters!$B$37/12</f>
        <v>36759.3348</v>
      </c>
      <c r="Z81" s="46">
        <f>SUMIF($B$13:$Y$13,"Yes",B81:Y81)</f>
        <v>477871.3524000001</v>
      </c>
      <c r="AA81" s="46">
        <f>SUM(B81:M81)</f>
        <v>441112.0176000001</v>
      </c>
      <c r="AB81" s="46">
        <f>SUM(B81:Y81)</f>
        <v>882224.0351999997</v>
      </c>
    </row>
    <row r="82" spans="1:30">
      <c r="A82" s="16" t="s">
        <v>52</v>
      </c>
      <c r="B82" s="46">
        <f>SUM(B83:B87)</f>
        <v>6360.60606060606</v>
      </c>
      <c r="C82" s="46">
        <f>SUM(C83:C87)</f>
        <v>6360.60606060606</v>
      </c>
      <c r="D82" s="46">
        <f>SUM(D83:D87)</f>
        <v>6360.60606060606</v>
      </c>
      <c r="E82" s="46">
        <f>SUM(E83:E87)</f>
        <v>5251.515151515153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24333.33333333333</v>
      </c>
      <c r="AA82" s="46">
        <f>SUM(B82:M82)</f>
        <v>24333.33333333333</v>
      </c>
      <c r="AB82" s="46">
        <f>SUM(B82:Y82)</f>
        <v>24333.33333333333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6360.60606060606</v>
      </c>
      <c r="C83" s="46">
        <f>IF(Calculations!$E23&gt;COUNT(Output!$B$35:C$35),Calculations!$B23,IF(Calculations!$E23=COUNT(Output!$B$35:C$35),Inputs!$B56-Calculations!$C23*(Calculations!$E23-1)+Calculations!$D23,0))</f>
        <v>6360.60606060606</v>
      </c>
      <c r="D83" s="46">
        <f>IF(Calculations!$E23&gt;COUNT(Output!$B$35:D$35),Calculations!$B23,IF(Calculations!$E23=COUNT(Output!$B$35:D$35),Inputs!$B56-Calculations!$C23*(Calculations!$E23-1)+Calculations!$D23,0))</f>
        <v>6360.60606060606</v>
      </c>
      <c r="E83" s="46">
        <f>IF(Calculations!$E23&gt;COUNT(Output!$B$35:E$35),Calculations!$B23,IF(Calculations!$E23=COUNT(Output!$B$35:E$35),Inputs!$B56-Calculations!$C23*(Calculations!$E23-1)+Calculations!$D23,0))</f>
        <v>5251.515151515153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24333.33333333333</v>
      </c>
      <c r="AA83" s="46">
        <f>SUM(B83:M83)</f>
        <v>24333.33333333333</v>
      </c>
      <c r="AB83" s="46">
        <f>SUM(B83:Y83)</f>
        <v>24333.33333333333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99326.19086060608</v>
      </c>
      <c r="C88" s="19">
        <f>SUM(C72:C82,C66,C60,C54,C48,C42,C36)</f>
        <v>99326.19086060608</v>
      </c>
      <c r="D88" s="19">
        <f>SUM(D72:D82,D66,D60,D54,D48,D42,D36)</f>
        <v>99326.19086060608</v>
      </c>
      <c r="E88" s="19">
        <f>SUM(E72:E82,E66,E60,E54,E48,E42,E36)</f>
        <v>98217.09995151516</v>
      </c>
      <c r="F88" s="19">
        <f>SUM(F72:F82,F66,F60,F54,F48,F42,F36)</f>
        <v>92965.58480000001</v>
      </c>
      <c r="G88" s="19">
        <f>SUM(G72:G82,G66,G60,G54,G48,G42,G36)</f>
        <v>92965.58480000001</v>
      </c>
      <c r="H88" s="19">
        <f>SUM(H72:H82,H66,H60,H54,H48,H42,H36)</f>
        <v>92965.58480000001</v>
      </c>
      <c r="I88" s="19">
        <f>SUM(I72:I82,I66,I60,I54,I48,I42,I36)</f>
        <v>92965.58480000001</v>
      </c>
      <c r="J88" s="19">
        <f>SUM(J72:J82,J66,J60,J54,J48,J42,J36)</f>
        <v>92965.58480000001</v>
      </c>
      <c r="K88" s="19">
        <f>SUM(K72:K82,K66,K60,K54,K48,K42,K36)</f>
        <v>92965.58480000001</v>
      </c>
      <c r="L88" s="19">
        <f>SUM(L72:L82,L66,L60,L54,L48,L42,L36)</f>
        <v>92965.58480000001</v>
      </c>
      <c r="M88" s="19">
        <f>SUM(M72:M82,M66,M60,M54,M48,M42,M36)</f>
        <v>92965.58480000001</v>
      </c>
      <c r="N88" s="19">
        <f>SUM(N72:N82,N66,N60,N54,N48,N42,N36)</f>
        <v>92965.58480000001</v>
      </c>
      <c r="O88" s="19">
        <f>SUM(O72:O82,O66,O60,O54,O48,O42,O36)</f>
        <v>92965.58480000001</v>
      </c>
      <c r="P88" s="19">
        <f>SUM(P72:P82,P66,P60,P54,P48,P42,P36)</f>
        <v>92965.58480000001</v>
      </c>
      <c r="Q88" s="19">
        <f>SUM(Q72:Q82,Q66,Q60,Q54,Q48,Q42,Q36)</f>
        <v>92965.58480000001</v>
      </c>
      <c r="R88" s="19">
        <f>SUM(R72:R82,R66,R60,R54,R48,R42,R36)</f>
        <v>92965.58480000001</v>
      </c>
      <c r="S88" s="19">
        <f>SUM(S72:S82,S66,S60,S54,S48,S42,S36)</f>
        <v>92965.58480000001</v>
      </c>
      <c r="T88" s="19">
        <f>SUM(T72:T82,T66,T60,T54,T48,T42,T36)</f>
        <v>92965.58480000001</v>
      </c>
      <c r="U88" s="19">
        <f>SUM(U72:U82,U66,U60,U54,U48,U42,U36)</f>
        <v>92965.58480000001</v>
      </c>
      <c r="V88" s="19">
        <f>SUM(V72:V82,V66,V60,V54,V48,V42,V36)</f>
        <v>92965.58480000001</v>
      </c>
      <c r="W88" s="19">
        <f>SUM(W72:W82,W66,W60,W54,W48,W42,W36)</f>
        <v>92965.58480000001</v>
      </c>
      <c r="X88" s="19">
        <f>SUM(X72:X82,X66,X60,X54,X48,X42,X36)</f>
        <v>92965.58480000001</v>
      </c>
      <c r="Y88" s="19">
        <f>SUM(Y72:Y82,Y66,Y60,Y54,Y48,Y42,Y36)</f>
        <v>92965.58480000001</v>
      </c>
      <c r="Z88" s="19">
        <f>SUMIF($B$13:$Y$13,"Yes",B88:Y88)</f>
        <v>1232885.935733334</v>
      </c>
      <c r="AA88" s="19">
        <f>SUM(B88:M88)</f>
        <v>1139920.350933334</v>
      </c>
      <c r="AB88" s="19">
        <f>SUM(B88:Y88)</f>
        <v>2255507.368533334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640000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525000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1495000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17000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137000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91</v>
      </c>
      <c r="I8" s="147" t="s">
        <v>91</v>
      </c>
      <c r="J8" s="148" t="s">
        <v>93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95</v>
      </c>
      <c r="B18" s="10" t="s">
        <v>96</v>
      </c>
      <c r="C18" s="10" t="s">
        <v>97</v>
      </c>
      <c r="D18" s="10" t="s">
        <v>98</v>
      </c>
      <c r="E18" s="10" t="s">
        <v>99</v>
      </c>
      <c r="F18" s="10" t="s">
        <v>100</v>
      </c>
      <c r="G18" s="10" t="s">
        <v>101</v>
      </c>
      <c r="H18" s="10" t="s">
        <v>102</v>
      </c>
      <c r="I18" s="10" t="s">
        <v>103</v>
      </c>
      <c r="J18" s="10" t="s">
        <v>104</v>
      </c>
      <c r="K18" s="10" t="s">
        <v>105</v>
      </c>
      <c r="L18" s="10" t="s">
        <v>106</v>
      </c>
    </row>
    <row r="19" spans="1:48">
      <c r="A19" s="142" t="s">
        <v>107</v>
      </c>
      <c r="B19" s="20"/>
      <c r="C19" s="142">
        <v>12</v>
      </c>
      <c r="D19" s="145"/>
      <c r="E19" s="20"/>
      <c r="F19" s="145" t="s">
        <v>108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2</v>
      </c>
      <c r="D20" s="147">
        <v>2</v>
      </c>
      <c r="E20" s="16"/>
      <c r="F20" s="147" t="s">
        <v>108</v>
      </c>
      <c r="G20" s="16"/>
      <c r="H20" s="16"/>
      <c r="I20" s="147" t="s">
        <v>109</v>
      </c>
      <c r="J20" s="147">
        <v>5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10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65000</v>
      </c>
    </row>
    <row r="31" spans="1:48">
      <c r="A31" s="5" t="s">
        <v>117</v>
      </c>
      <c r="B31" s="158">
        <v>45000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108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108</v>
      </c>
    </row>
    <row r="45" spans="1:48">
      <c r="A45" s="56" t="s">
        <v>130</v>
      </c>
      <c r="B45" s="161">
        <v>250000</v>
      </c>
    </row>
    <row r="46" spans="1:48" customHeight="1" ht="30">
      <c r="A46" s="57" t="s">
        <v>131</v>
      </c>
      <c r="B46" s="161">
        <v>5000</v>
      </c>
    </row>
    <row r="47" spans="1:48" customHeight="1" ht="30">
      <c r="A47" s="57" t="s">
        <v>132</v>
      </c>
      <c r="B47" s="161">
        <v>50000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25000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100000</v>
      </c>
      <c r="B56" s="159">
        <v>17000</v>
      </c>
      <c r="C56" s="162" t="s">
        <v>143</v>
      </c>
      <c r="D56" s="163" t="s">
        <v>144</v>
      </c>
      <c r="E56" s="163" t="s">
        <v>108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 t="s">
        <v>149</v>
      </c>
      <c r="B66" s="159">
        <v>105250</v>
      </c>
      <c r="C66" s="163">
        <v>86500</v>
      </c>
      <c r="D66" s="49">
        <f>INDEX(Parameters!$D$79:$D$90,MATCH(Inputs!A66,Parameters!$C$79:$C$90,0))</f>
        <v>6</v>
      </c>
    </row>
    <row r="67" spans="1:48">
      <c r="A67" s="143" t="s">
        <v>150</v>
      </c>
      <c r="B67" s="157">
        <v>98450</v>
      </c>
      <c r="C67" s="165">
        <v>80150</v>
      </c>
      <c r="D67" s="49">
        <f>INDEX(Parameters!$D$79:$D$90,MATCH(Inputs!A67,Parameters!$C$79:$C$90,0))</f>
        <v>5</v>
      </c>
    </row>
    <row r="68" spans="1:48">
      <c r="A68" s="143" t="s">
        <v>151</v>
      </c>
      <c r="B68" s="157">
        <v>115248</v>
      </c>
      <c r="C68" s="165">
        <v>98750</v>
      </c>
      <c r="D68" s="49">
        <f>INDEX(Parameters!$D$79:$D$90,MATCH(Inputs!A68,Parameters!$C$79:$C$90,0))</f>
        <v>4</v>
      </c>
    </row>
    <row r="69" spans="1:48">
      <c r="A69" s="143" t="s">
        <v>152</v>
      </c>
      <c r="B69" s="157">
        <v>87480</v>
      </c>
      <c r="C69" s="165">
        <v>74520</v>
      </c>
      <c r="D69" s="49">
        <f>INDEX(Parameters!$D$79:$D$90,MATCH(Inputs!A69,Parameters!$C$79:$C$90,0))</f>
        <v>3</v>
      </c>
    </row>
    <row r="70" spans="1:48">
      <c r="A70" s="143" t="s">
        <v>153</v>
      </c>
      <c r="B70" s="157">
        <v>99150</v>
      </c>
      <c r="C70" s="165">
        <v>81600</v>
      </c>
      <c r="D70" s="49">
        <f>INDEX(Parameters!$D$79:$D$90,MATCH(Inputs!A70,Parameters!$C$79:$C$90,0))</f>
        <v>2</v>
      </c>
    </row>
    <row r="71" spans="1:48">
      <c r="A71" s="144" t="s">
        <v>93</v>
      </c>
      <c r="B71" s="158">
        <v>78500</v>
      </c>
      <c r="C71" s="167">
        <v>64700</v>
      </c>
      <c r="D71" s="49">
        <f>INDEX(Parameters!$D$79:$D$90,MATCH(Inputs!A71,Parameters!$C$79:$C$90,0))</f>
        <v>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157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160</v>
      </c>
      <c r="B80" s="168" t="s">
        <v>161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162</v>
      </c>
      <c r="B81" s="161">
        <v>120000</v>
      </c>
    </row>
    <row r="82" spans="1:48">
      <c r="A82" t="s">
        <v>163</v>
      </c>
      <c r="B82" s="161">
        <v>20</v>
      </c>
    </row>
    <row r="83" spans="1:48">
      <c r="A83" t="s">
        <v>164</v>
      </c>
      <c r="B83" s="169" t="s">
        <v>165</v>
      </c>
    </row>
    <row r="84" spans="1:48">
      <c r="A84" t="s">
        <v>166</v>
      </c>
      <c r="B84" s="169">
        <v>1</v>
      </c>
    </row>
    <row r="85" spans="1:48">
      <c r="A85" t="s">
        <v>167</v>
      </c>
      <c r="B85" s="169">
        <v>12</v>
      </c>
    </row>
    <row r="86" spans="1:48">
      <c r="A86" t="s">
        <v>168</v>
      </c>
      <c r="B86" s="161"/>
    </row>
    <row r="87" spans="1:48">
      <c r="A87" t="s">
        <v>169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170</v>
      </c>
      <c r="C3" s="15" t="s">
        <v>171</v>
      </c>
      <c r="D3" s="15" t="s">
        <v>172</v>
      </c>
      <c r="E3" s="15" t="s">
        <v>173</v>
      </c>
      <c r="F3" s="15" t="s">
        <v>174</v>
      </c>
      <c r="G3" s="15" t="s">
        <v>175</v>
      </c>
      <c r="H3" s="15" t="s">
        <v>176</v>
      </c>
      <c r="I3" s="15" t="s">
        <v>177</v>
      </c>
      <c r="J3" s="15" t="s">
        <v>178</v>
      </c>
      <c r="K3" s="15" t="s">
        <v>179</v>
      </c>
      <c r="L3" s="15" t="s">
        <v>180</v>
      </c>
      <c r="M3" s="15" t="s">
        <v>181</v>
      </c>
      <c r="N3" s="15" t="s">
        <v>182</v>
      </c>
      <c r="O3" s="15" t="s">
        <v>183</v>
      </c>
      <c r="P3" s="15" t="s">
        <v>184</v>
      </c>
      <c r="Q3" s="32" t="s">
        <v>185</v>
      </c>
      <c r="R3" s="15" t="s">
        <v>186</v>
      </c>
      <c r="S3" s="15" t="s">
        <v>187</v>
      </c>
      <c r="T3" s="15" t="s">
        <v>188</v>
      </c>
      <c r="U3" s="178" t="s">
        <v>87</v>
      </c>
      <c r="V3" s="32" t="s">
        <v>189</v>
      </c>
      <c r="W3" s="32" t="s">
        <v>190</v>
      </c>
      <c r="X3" s="32" t="s">
        <v>191</v>
      </c>
      <c r="Y3" s="32" t="s">
        <v>192</v>
      </c>
      <c r="Z3" s="32" t="s">
        <v>43</v>
      </c>
      <c r="AA3" s="32" t="s">
        <v>193</v>
      </c>
      <c r="AB3" s="32" t="s">
        <v>194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138805.044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No</v>
      </c>
      <c r="J5" s="27" t="str">
        <f>IFERROR(Inputs!G8/Calculations!H5,"")</f>
        <v/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7270.740400000001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95</v>
      </c>
      <c r="B13" s="15" t="s">
        <v>35</v>
      </c>
      <c r="C13" s="15" t="s">
        <v>195</v>
      </c>
      <c r="D13" s="15" t="s">
        <v>196</v>
      </c>
      <c r="E13" s="15" t="s">
        <v>197</v>
      </c>
      <c r="F13" s="15" t="s">
        <v>198</v>
      </c>
      <c r="G13" s="15" t="s">
        <v>199</v>
      </c>
      <c r="H13" s="15" t="s">
        <v>200</v>
      </c>
      <c r="I13" s="15" t="s">
        <v>201</v>
      </c>
      <c r="J13" s="15" t="s">
        <v>202</v>
      </c>
      <c r="K13" s="15" t="s">
        <v>203</v>
      </c>
      <c r="L13" s="15" t="s">
        <v>204</v>
      </c>
      <c r="M13" s="178" t="s">
        <v>205</v>
      </c>
      <c r="N13" s="178" t="s">
        <v>206</v>
      </c>
      <c r="O13" s="62" t="s">
        <v>207</v>
      </c>
      <c r="P13" s="62" t="s">
        <v>208</v>
      </c>
      <c r="Q13" s="62" t="s">
        <v>209</v>
      </c>
      <c r="R13" s="62" t="s">
        <v>210</v>
      </c>
      <c r="S13" s="62" t="s">
        <v>211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12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475200</v>
      </c>
      <c r="Q14" s="63">
        <f>IFERROR(D14*INDEX(Parameters!$A$22:$P$29,MATCH(Calculations!$A14,Parameters!$A$22:$A$29,0),MATCH(Parameters!$L$22,Parameters!$A$22:$P$22,0))*IF(Inputs!I19="Always",1,IF(Inputs!I19="Sometimes",0.5,0))*365,"")</f>
        <v>65700</v>
      </c>
      <c r="R14" s="63">
        <f>IFERROR(D14*INDEX(Parameters!$A$22:$P$29,MATCH(Calculations!$A14,Parameters!$A$22:$A$29,0),MATCH(Parameters!$M$22,Parameters!$A$22:$P$22,0)),"")</f>
        <v>2400</v>
      </c>
      <c r="S14" s="63">
        <f>IFERROR(D14*INDEX(Parameters!$A$22:$P$29,MATCH(Calculations!$A14,Parameters!$A$22:$A$29,0),MATCH(Parameters!$N$22,Parameters!$A$22:$P$22,0)),"")</f>
        <v>24000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2</v>
      </c>
      <c r="E15" s="16">
        <f>Inputs!D20</f>
        <v>2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0.05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383249.9999999999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12000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212</v>
      </c>
      <c r="C22" s="74" t="s">
        <v>213</v>
      </c>
      <c r="D22" s="74" t="s">
        <v>214</v>
      </c>
      <c r="E22" s="74" t="s">
        <v>215</v>
      </c>
    </row>
    <row r="23" spans="1:52">
      <c r="A23" s="75">
        <f>Inputs!A56</f>
        <v>100000</v>
      </c>
      <c r="B23" s="75">
        <f>SUM(C23:D23)</f>
        <v>6360.60606060606</v>
      </c>
      <c r="C23" s="75">
        <f>IF(Inputs!B56&gt;0,(Inputs!A56-Inputs!B56)/(DATE(YEAR(Inputs!$B$76),MONTH(Inputs!$B$76),DAY(Inputs!$B$76))-DATE(YEAR(Inputs!C56),MONTH(Inputs!C56),DAY(Inputs!C56)))*30,0)</f>
        <v>4527.272727272727</v>
      </c>
      <c r="D23" s="75">
        <f>IF(Inputs!B56&gt;0,Inputs!A56*0.22/12,0)</f>
        <v>1833.333333333333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217</v>
      </c>
      <c r="B32" s="129" t="s">
        <v>218</v>
      </c>
      <c r="C32" s="129" t="s">
        <v>219</v>
      </c>
      <c r="D32" s="129" t="s">
        <v>220</v>
      </c>
      <c r="F32" s="132" t="s">
        <v>221</v>
      </c>
      <c r="G32" s="132" t="s">
        <v>222</v>
      </c>
      <c r="I32" s="174" t="s">
        <v>223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42958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42948</v>
      </c>
      <c r="F33" t="s">
        <v>159</v>
      </c>
      <c r="G33" s="128">
        <f>IF(Inputs!B79="","",DATE(YEAR(Inputs!B79),MONTH(Inputs!B79),DAY(Inputs!B79)))</f>
        <v>42927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42989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42979</v>
      </c>
      <c r="F34" t="s">
        <v>160</v>
      </c>
      <c r="G34" s="128">
        <f>IF(Inputs!B80="","",DATE(YEAR(Inputs!B80),MONTH(Inputs!B80),DAY(Inputs!B80)))</f>
        <v>42958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43019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43009</v>
      </c>
      <c r="F35" t="s">
        <v>162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43050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43040</v>
      </c>
      <c r="F36" t="s">
        <v>163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43080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43070</v>
      </c>
      <c r="F37" t="s">
        <v>224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43111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43101</v>
      </c>
      <c r="F38" t="s">
        <v>225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43142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43132</v>
      </c>
      <c r="F39" t="s">
        <v>168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43170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43160</v>
      </c>
      <c r="F40" t="s">
        <v>169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43201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43191</v>
      </c>
      <c r="F41" t="s">
        <v>226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43231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43221</v>
      </c>
      <c r="F42" t="s">
        <v>227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43262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43292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228</v>
      </c>
      <c r="C3" s="10" t="s">
        <v>229</v>
      </c>
      <c r="D3" s="10" t="s">
        <v>230</v>
      </c>
      <c r="E3" s="10" t="s">
        <v>231</v>
      </c>
      <c r="F3" s="10" t="s">
        <v>232</v>
      </c>
      <c r="G3" s="10" t="s">
        <v>233</v>
      </c>
      <c r="H3" s="10" t="s">
        <v>234</v>
      </c>
      <c r="I3" s="10" t="s">
        <v>235</v>
      </c>
      <c r="J3" s="10" t="s">
        <v>236</v>
      </c>
      <c r="K3" s="10" t="s">
        <v>237</v>
      </c>
      <c r="L3" s="10" t="s">
        <v>238</v>
      </c>
      <c r="M3" s="10" t="s">
        <v>239</v>
      </c>
      <c r="N3" s="10" t="s">
        <v>240</v>
      </c>
      <c r="O3" s="10" t="s">
        <v>241</v>
      </c>
      <c r="P3" s="10" t="s">
        <v>242</v>
      </c>
      <c r="Q3" s="10" t="s">
        <v>243</v>
      </c>
      <c r="R3" s="10" t="s">
        <v>244</v>
      </c>
      <c r="S3" s="10" t="s">
        <v>245</v>
      </c>
      <c r="T3" s="10" t="s">
        <v>246</v>
      </c>
      <c r="U3" s="10" t="s">
        <v>186</v>
      </c>
      <c r="V3" s="10" t="s">
        <v>184</v>
      </c>
      <c r="W3" s="10" t="s">
        <v>247</v>
      </c>
      <c r="X3" s="10" t="s">
        <v>248</v>
      </c>
      <c r="Y3" s="10" t="s">
        <v>249</v>
      </c>
      <c r="Z3" s="10" t="s">
        <v>250</v>
      </c>
      <c r="AA3" s="10" t="s">
        <v>251</v>
      </c>
      <c r="AB3" s="10" t="s">
        <v>252</v>
      </c>
      <c r="AC3" s="10" t="s">
        <v>253</v>
      </c>
      <c r="AD3" s="10" t="s">
        <v>254</v>
      </c>
      <c r="AE3" s="10" t="s">
        <v>255</v>
      </c>
      <c r="AF3" s="10" t="s">
        <v>256</v>
      </c>
      <c r="AG3" s="10" t="s">
        <v>257</v>
      </c>
      <c r="AH3" s="10" t="s">
        <v>258</v>
      </c>
      <c r="AI3" s="10" t="s">
        <v>259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95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200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110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299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300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107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95</v>
      </c>
      <c r="B41" s="191" t="s">
        <v>91</v>
      </c>
      <c r="C41" s="191" t="s">
        <v>108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110</v>
      </c>
      <c r="B44" s="72">
        <v>50000</v>
      </c>
      <c r="C44" s="72">
        <v>200000</v>
      </c>
    </row>
    <row r="45" spans="1:36">
      <c r="A45" t="s">
        <v>299</v>
      </c>
      <c r="B45" s="72">
        <v>25000</v>
      </c>
      <c r="C45" s="72">
        <v>50000</v>
      </c>
    </row>
    <row r="46" spans="1:36">
      <c r="A46" t="s">
        <v>300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107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312</v>
      </c>
      <c r="H52" s="12" t="s">
        <v>128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228</v>
      </c>
      <c r="E53" s="10" t="s">
        <v>187</v>
      </c>
      <c r="F53" s="10" t="s">
        <v>247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108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108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108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108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108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108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108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108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108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108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108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165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224</v>
      </c>
      <c r="J76" s="11" t="s">
        <v>346</v>
      </c>
      <c r="K76" s="11" t="s">
        <v>177</v>
      </c>
      <c r="AJ76" s="12"/>
    </row>
    <row r="77" spans="1:36">
      <c r="A77" t="s">
        <v>108</v>
      </c>
      <c r="B77" s="176">
        <v>0</v>
      </c>
      <c r="C77" s="12" t="s">
        <v>347</v>
      </c>
      <c r="E77" s="12" t="s">
        <v>91</v>
      </c>
      <c r="F77" s="12" t="s">
        <v>91</v>
      </c>
      <c r="G77" s="12" t="s">
        <v>348</v>
      </c>
      <c r="H77" s="12" t="s">
        <v>128</v>
      </c>
      <c r="I77" s="12" t="s">
        <v>349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109</v>
      </c>
      <c r="H78" s="12" t="s">
        <v>313</v>
      </c>
      <c r="I78" s="12" t="s">
        <v>353</v>
      </c>
      <c r="J78" s="70" t="s">
        <v>354</v>
      </c>
      <c r="K78" s="12" t="s">
        <v>91</v>
      </c>
      <c r="AJ78" s="12"/>
    </row>
    <row r="79" spans="1:36">
      <c r="B79" s="176">
        <v>10</v>
      </c>
      <c r="C79" s="12" t="s">
        <v>93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165</v>
      </c>
      <c r="J79" s="70" t="s">
        <v>358</v>
      </c>
      <c r="K79" s="12" t="s">
        <v>91</v>
      </c>
      <c r="AJ79" s="12"/>
    </row>
    <row r="80" spans="1:36">
      <c r="B80" s="176">
        <v>20</v>
      </c>
      <c r="C80" s="12" t="s">
        <v>153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108</v>
      </c>
      <c r="AJ80" s="12"/>
    </row>
    <row r="81" spans="1:36">
      <c r="B81" s="176">
        <v>30</v>
      </c>
      <c r="C81" s="12" t="s">
        <v>152</v>
      </c>
      <c r="D81" s="12">
        <f>D80+1</f>
        <v>3</v>
      </c>
      <c r="J81" s="70" t="s">
        <v>362</v>
      </c>
      <c r="K81" s="12" t="s">
        <v>108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150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