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<sst xmlns="http://schemas.openxmlformats.org/spreadsheetml/2006/main" uniqueCount="369">
  <si>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</si>
  <si>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</si>
  <si>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</si>
  <si>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</si>
  <si>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</si>
  <si>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</si>
  <si>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</si>
  <si>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</si>
  <si>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</si>
  <si>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</si>
  <si>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</si>
  <si>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</si>
  <si>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</si>
  <si>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</si>
  <si>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</si>
  <si>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</si>
  <si>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</si>
  <si>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</si>
  <si>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</si>
  <si>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</si>
  <si>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</si>
  <si>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</si>
  <si>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</si>
  <si>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</si>
  <si>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</si>
  <si>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</si>
  <si>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</si>
  <si>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</si>
  <si>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</si>
  <si>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</si>
  <si>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</si>
  <si>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</si>
  <si>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</si>
  <si>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</si>
  <si>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</si>
  <si>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</si>
  <si>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</si>
  <si>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</si>
  <si>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</si>
  <si>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</si>
  <si>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</si>
  <si>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</si>
  <si>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</si>
  <si>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</si>
  <si>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</si>
  <si>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</si>
  <si>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</si>
  <si>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</si>
  <si>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</si>
  <si>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</si>
  <si>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</si>
  <si>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</si>
  <si>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</si>
  <si>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</si>
  <si>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</si>
  <si>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</si>
  <si>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</si>
  <si>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</si>
  <si>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</si>
  <si>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</si>
  <si>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</si>
  <si>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</si>
  <si>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</si>
  <si>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</si>
  <si>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</si>
  <si>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</si>
  <si>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</si>
  <si>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</si>
  <si>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</si>
  <si>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</si>
  <si>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</si>
  <si>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</si>
  <si>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</si>
  <si>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</si>
  <si>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</si>
  <si>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</si>
  <si>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</si>
  <si>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</si>
  <si>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</si>
  <si>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</si>
  <si>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</si>
  <si>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</si>
  <si>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</si>
  <si>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</si>
  <si>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</si>
  <si>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</si>
  <si>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</si>
  <si>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</si>
  <si>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</si>
  <si>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</si>
  <si>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</si>
  <si>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</si>
  <si>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</si>
  <si>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</si>
  <si>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August</t>
  </si>
  <si>
    <t>Other crops</t>
  </si>
  <si>
    <t>Home recycled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</si>
  <si>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</si>
  <si>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</si>
  <si>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</si>
  <si>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</si>
  <si>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</si>
  <si>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</si>
  <si>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</si>
  <si>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</si>
  <si>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</si>
  <si>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</si>
  <si>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</si>
  <si>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</si>
  <si>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</si>
  <si>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</si>
  <si>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</si>
  <si>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</si>
  <si>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</si>
  <si>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</si>
  <si>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</si>
  <si>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</si>
  <si>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Posho mill and welding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</si>
  <si>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</si>
  <si>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</si>
  <si>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</si>
  <si>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</si>
  <si>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</si>
  <si>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</si>
  <si>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</si>
  <si>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Transport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</si>
  <si>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</si>
  <si>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</si>
  <si>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</si>
  <si>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</si>
  <si>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</si>
  <si>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</si>
  <si>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</si>
  <si>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</si>
  <si>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</si>
  <si>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</si>
  <si>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</si>
  <si>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</si>
  <si>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</si>
  <si>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</si>
  <si>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</si>
  <si>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</si>
  <si>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</si>
  <si>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</si>
  <si>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</si>
  <si>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</si>
  <si>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</si>
  <si>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3/23/2017</t>
  </si>
  <si>
    <t>credit card</t>
  </si>
  <si>
    <t>well serviced</t>
  </si>
  <si>
    <t>Mpesa &amp; bank cash flows (from past statements)</t>
  </si>
  <si>
    <t>Cash inflows</t>
  </si>
  <si>
    <t>Cash outflows</t>
  </si>
  <si>
    <t>July</t>
  </si>
  <si>
    <t>September</t>
  </si>
  <si>
    <t>October</t>
  </si>
  <si>
    <t>November</t>
  </si>
  <si>
    <t>Loan info</t>
  </si>
  <si>
    <t>Branch ID</t>
  </si>
  <si>
    <t>Submission date</t>
  </si>
  <si>
    <t>2017/7/13</t>
  </si>
  <si>
    <t>Loan terms</t>
  </si>
  <si>
    <t>Expected disbursement date</t>
  </si>
  <si>
    <t>Expected first repayment date</t>
  </si>
  <si>
    <t>2017/8/13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</si>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</sst>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Posho mill and welding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>
        <f>IFERROR(Output!B107/Output!B101,"")</f>
        <v>0.009701063524001149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-2236084.493000653</v>
      </c>
    </row>
    <row r="18" spans="1:7">
      <c r="B18" s="1" t="s">
        <v>12</v>
      </c>
      <c r="C18" s="36">
        <f>MIN(Output!B6:M6)</f>
        <v>-2483778.175618594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60698.96881995641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</v>
      </c>
    </row>
    <row r="25" spans="1:7">
      <c r="B25" s="1" t="s">
        <v>18</v>
      </c>
      <c r="C25" s="36">
        <f>MAX(Inputs!A56:A60)</f>
        <v>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22410.3958099778</v>
      </c>
      <c r="C6" s="51">
        <f>C30-C88</f>
        <v>7009.824381406375</v>
      </c>
      <c r="D6" s="51">
        <f>D30-D88</f>
        <v>16221.82438140638</v>
      </c>
      <c r="E6" s="51">
        <f>E30-E88</f>
        <v>16221.82438140638</v>
      </c>
      <c r="F6" s="51">
        <f>F30-F88</f>
        <v>15021.82438140638</v>
      </c>
      <c r="G6" s="51">
        <f>G30-G88</f>
        <v>12221.82438140638</v>
      </c>
      <c r="H6" s="51">
        <f>H30-H88</f>
        <v>-2483778.175618594</v>
      </c>
      <c r="I6" s="51">
        <f>I30-I88</f>
        <v>30656.00865104116</v>
      </c>
      <c r="J6" s="51">
        <f>J30-J88</f>
        <v>60698.96881995641</v>
      </c>
      <c r="K6" s="51">
        <f>K30-K88</f>
        <v>22410.3958099778</v>
      </c>
      <c r="L6" s="51">
        <f>L30-L88</f>
        <v>22410.3958099778</v>
      </c>
      <c r="M6" s="51">
        <f>M30-M88</f>
        <v>22410.3958099778</v>
      </c>
      <c r="N6" s="51">
        <f>N30-N88</f>
        <v>22410.3958099778</v>
      </c>
      <c r="O6" s="51">
        <f>O30-O88</f>
        <v>7009.824381406375</v>
      </c>
      <c r="P6" s="51">
        <f>P30-P88</f>
        <v>16221.82438140638</v>
      </c>
      <c r="Q6" s="51">
        <f>Q30-Q88</f>
        <v>16221.82438140638</v>
      </c>
      <c r="R6" s="51">
        <f>R30-R88</f>
        <v>15021.82438140638</v>
      </c>
      <c r="S6" s="51">
        <f>S30-S88</f>
        <v>12221.82438140638</v>
      </c>
      <c r="T6" s="51">
        <f>T30-T88</f>
        <v>16221.82438140638</v>
      </c>
      <c r="U6" s="51">
        <f>U30-U88</f>
        <v>30656.00865104116</v>
      </c>
      <c r="V6" s="51">
        <f>V30-V88</f>
        <v>60698.96881995641</v>
      </c>
      <c r="W6" s="51">
        <f>W30-W88</f>
        <v>22410.3958099778</v>
      </c>
      <c r="X6" s="51">
        <f>X30-X88</f>
        <v>22410.3958099778</v>
      </c>
      <c r="Y6" s="51">
        <f>Y30-Y88</f>
        <v>22410.3958099778</v>
      </c>
      <c r="Z6" s="51">
        <f>SUMIF($B$13:$Y$13,"Yes",B6:Y6)</f>
        <v>-2213674.097190675</v>
      </c>
      <c r="AA6" s="51">
        <f>AA30-AA88</f>
        <v>-2236084.493000653</v>
      </c>
      <c r="AB6" s="51">
        <f>AB30-AB88</f>
        <v>-1972168.986001305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60000</v>
      </c>
      <c r="D7" s="80">
        <f>IF(ISERROR(VLOOKUP(MONTH(D5),Inputs!$D$66:$D$71,1,0)),"",INDEX(Inputs!$B$66:$B$71,MATCH(MONTH(Output!D5),Inputs!$D$66:$D$71,0))-INDEX(Inputs!$C$66:$C$71,MATCH(MONTH(Output!D5),Inputs!$D$66:$D$71,0)))</f>
        <v>40000</v>
      </c>
      <c r="E7" s="80">
        <f>IF(ISERROR(VLOOKUP(MONTH(E5),Inputs!$D$66:$D$71,1,0)),"",INDEX(Inputs!$B$66:$B$71,MATCH(MONTH(Output!E5),Inputs!$D$66:$D$71,0))-INDEX(Inputs!$C$66:$C$71,MATCH(MONTH(Output!E5),Inputs!$D$66:$D$71,0)))</f>
        <v>70000</v>
      </c>
      <c r="F7" s="80">
        <f>IF(ISERROR(VLOOKUP(MONTH(F5),Inputs!$D$66:$D$71,1,0)),"",INDEX(Inputs!$B$66:$B$71,MATCH(MONTH(Output!F5),Inputs!$D$66:$D$71,0))-INDEX(Inputs!$C$66:$C$71,MATCH(MONTH(Output!F5),Inputs!$D$66:$D$71,0)))</f>
        <v>80000</v>
      </c>
      <c r="G7" s="80">
        <f>IF(ISERROR(VLOOKUP(MONTH(G5),Inputs!$D$66:$D$71,1,0)),"",INDEX(Inputs!$B$66:$B$71,MATCH(MONTH(Output!G5),Inputs!$D$66:$D$71,0))-INDEX(Inputs!$C$66:$C$71,MATCH(MONTH(Output!G5),Inputs!$D$66:$D$71,0)))</f>
        <v>50000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60000</v>
      </c>
      <c r="P7" s="80">
        <f>IF(ISERROR(VLOOKUP(MONTH(P5),Inputs!$D$66:$D$71,1,0)),"",INDEX(Inputs!$B$66:$B$71,MATCH(MONTH(Output!P5),Inputs!$D$66:$D$71,0))-INDEX(Inputs!$C$66:$C$71,MATCH(MONTH(Output!P5),Inputs!$D$66:$D$71,0)))</f>
        <v>40000</v>
      </c>
      <c r="Q7" s="80">
        <f>IF(ISERROR(VLOOKUP(MONTH(Q5),Inputs!$D$66:$D$71,1,0)),"",INDEX(Inputs!$B$66:$B$71,MATCH(MONTH(Output!Q5),Inputs!$D$66:$D$71,0))-INDEX(Inputs!$C$66:$C$71,MATCH(MONTH(Output!Q5),Inputs!$D$66:$D$71,0)))</f>
        <v>70000</v>
      </c>
      <c r="R7" s="80">
        <f>IF(ISERROR(VLOOKUP(MONTH(R5),Inputs!$D$66:$D$71,1,0)),"",INDEX(Inputs!$B$66:$B$71,MATCH(MONTH(Output!R5),Inputs!$D$66:$D$71,0))-INDEX(Inputs!$C$66:$C$71,MATCH(MONTH(Output!R5),Inputs!$D$66:$D$71,0)))</f>
        <v>80000</v>
      </c>
      <c r="S7" s="80">
        <f>IF(ISERROR(VLOOKUP(MONTH(S5),Inputs!$D$66:$D$71,1,0)),"",INDEX(Inputs!$B$66:$B$71,MATCH(MONTH(Output!S5),Inputs!$D$66:$D$71,0))-INDEX(Inputs!$C$66:$C$71,MATCH(MONTH(Output!S5),Inputs!$D$66:$D$71,0)))</f>
        <v>50000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25000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275000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272410.3958099778</v>
      </c>
      <c r="C11" s="80">
        <f>C6+C9-C10</f>
        <v>-17990.17561859362</v>
      </c>
      <c r="D11" s="80">
        <f>D6+D9-D10</f>
        <v>-8778.175618593625</v>
      </c>
      <c r="E11" s="80">
        <f>E6+E9-E10</f>
        <v>-8778.175618593625</v>
      </c>
      <c r="F11" s="80">
        <f>F6+F9-F10</f>
        <v>-9978.175618593625</v>
      </c>
      <c r="G11" s="80">
        <f>G6+G9-G10</f>
        <v>-12778.17561859362</v>
      </c>
      <c r="H11" s="80">
        <f>H6+H9-H10</f>
        <v>-2508778.175618594</v>
      </c>
      <c r="I11" s="80">
        <f>I6+I9-I10</f>
        <v>5656.008651041164</v>
      </c>
      <c r="J11" s="80">
        <f>J6+J9-J10</f>
        <v>35698.96881995641</v>
      </c>
      <c r="K11" s="80">
        <f>K6+K9-K10</f>
        <v>-2589.604190022197</v>
      </c>
      <c r="L11" s="80">
        <f>L6+L9-L10</f>
        <v>-2589.604190022197</v>
      </c>
      <c r="M11" s="80">
        <f>M6+M9-M10</f>
        <v>-2589.604190022197</v>
      </c>
      <c r="N11" s="80">
        <f>N6+N9-N10</f>
        <v>-2589.604190022197</v>
      </c>
      <c r="O11" s="80">
        <f>O6+O9-O10</f>
        <v>7009.824381406375</v>
      </c>
      <c r="P11" s="80">
        <f>P6+P9-P10</f>
        <v>16221.82438140638</v>
      </c>
      <c r="Q11" s="80">
        <f>Q6+Q9-Q10</f>
        <v>16221.82438140638</v>
      </c>
      <c r="R11" s="80">
        <f>R6+R9-R10</f>
        <v>15021.82438140638</v>
      </c>
      <c r="S11" s="80">
        <f>S6+S9-S10</f>
        <v>12221.82438140638</v>
      </c>
      <c r="T11" s="80">
        <f>T6+T9-T10</f>
        <v>16221.82438140638</v>
      </c>
      <c r="U11" s="80">
        <f>U6+U9-U10</f>
        <v>30656.00865104116</v>
      </c>
      <c r="V11" s="80">
        <f>V6+V9-V10</f>
        <v>60698.96881995641</v>
      </c>
      <c r="W11" s="80">
        <f>W6+W9-W10</f>
        <v>22410.3958099778</v>
      </c>
      <c r="X11" s="80">
        <f>X6+X9-X10</f>
        <v>22410.3958099778</v>
      </c>
      <c r="Y11" s="80">
        <f>Y6+Y9-Y10</f>
        <v>22410.3958099778</v>
      </c>
      <c r="Z11" s="85">
        <f>SUMIF($B$13:$Y$13,"Yes",B11:Y11)</f>
        <v>-2263674.097190676</v>
      </c>
      <c r="AA11" s="80">
        <f>SUM(B11:M11)</f>
        <v>-2261084.493000654</v>
      </c>
      <c r="AB11" s="46">
        <f>SUM(B11:Y11)</f>
        <v>-2022168.986001307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0.08947097666330901</v>
      </c>
      <c r="D12" s="82">
        <f>IF(D13="Yes",IF(SUM($B$10:D10)/(SUM($B$6:D6)+SUM($B$9:D9))&lt;0,999.99,SUM($B$10:D10)/(SUM($B$6:D6)+SUM($B$9:D9))),"")</f>
        <v>0.1691234413976914</v>
      </c>
      <c r="E12" s="82">
        <f>IF(E13="Yes",IF(SUM($B$10:E10)/(SUM($B$6:E6)+SUM($B$9:E9))&lt;0,999.99,SUM($B$10:E10)/(SUM($B$6:E6)+SUM($B$9:E9))),"")</f>
        <v>0.2404895451707975</v>
      </c>
      <c r="F12" s="82">
        <f>IF(F13="Yes",IF(SUM($B$10:F10)/(SUM($B$6:F6)+SUM($B$9:F9))&lt;0,999.99,SUM($B$10:F10)/(SUM($B$6:F6)+SUM($B$9:F9))),"")</f>
        <v>0.3059173345262716</v>
      </c>
      <c r="G12" s="82">
        <f>IF(G13="Yes",IF(SUM($B$10:G10)/(SUM($B$6:G6)+SUM($B$9:G9))&lt;0,999.99,SUM($B$10:G10)/(SUM($B$6:G6)+SUM($B$9:G9))),"")</f>
        <v>0.3686146530797774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31907.14417498217</v>
      </c>
      <c r="J18" s="36">
        <f>V18</f>
        <v>38288.5730099786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31907.14417498217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38288.5730099786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70195.71718496077</v>
      </c>
      <c r="AA18" s="36">
        <f>SUM(B18:M18)</f>
        <v>70195.71718496077</v>
      </c>
      <c r="AB18" s="36">
        <f>SUM(B18:Y18)</f>
        <v>140391.4343699215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13447.36842105263</v>
      </c>
      <c r="C24" s="36">
        <f>IFERROR(Calculations!$P14/12,"")</f>
        <v>13447.36842105263</v>
      </c>
      <c r="D24" s="36">
        <f>IFERROR(Calculations!$P14/12,"")</f>
        <v>13447.36842105263</v>
      </c>
      <c r="E24" s="36">
        <f>IFERROR(Calculations!$P14/12,"")</f>
        <v>13447.36842105263</v>
      </c>
      <c r="F24" s="36">
        <f>IFERROR(Calculations!$P14/12,"")</f>
        <v>13447.36842105263</v>
      </c>
      <c r="G24" s="36">
        <f>IFERROR(Calculations!$P14/12,"")</f>
        <v>13447.36842105263</v>
      </c>
      <c r="H24" s="36">
        <f>IFERROR(Calculations!$P14/12,"")</f>
        <v>13447.36842105263</v>
      </c>
      <c r="I24" s="36">
        <f>IFERROR(Calculations!$P14/12,"")</f>
        <v>13447.36842105263</v>
      </c>
      <c r="J24" s="36">
        <f>IFERROR(Calculations!$P14/12,"")</f>
        <v>13447.36842105263</v>
      </c>
      <c r="K24" s="36">
        <f>IFERROR(Calculations!$P14/12,"")</f>
        <v>13447.36842105263</v>
      </c>
      <c r="L24" s="36">
        <f>IFERROR(Calculations!$P14/12,"")</f>
        <v>13447.36842105263</v>
      </c>
      <c r="M24" s="36">
        <f>IFERROR(Calculations!$P14/12,"")</f>
        <v>13447.36842105263</v>
      </c>
      <c r="N24" s="36">
        <f>IFERROR(Calculations!$P14/12,"")</f>
        <v>13447.36842105263</v>
      </c>
      <c r="O24" s="36">
        <f>IFERROR(Calculations!$P14/12,"")</f>
        <v>13447.36842105263</v>
      </c>
      <c r="P24" s="36">
        <f>IFERROR(Calculations!$P14/12,"")</f>
        <v>13447.36842105263</v>
      </c>
      <c r="Q24" s="36">
        <f>IFERROR(Calculations!$P14/12,"")</f>
        <v>13447.36842105263</v>
      </c>
      <c r="R24" s="36">
        <f>IFERROR(Calculations!$P14/12,"")</f>
        <v>13447.36842105263</v>
      </c>
      <c r="S24" s="36">
        <f>IFERROR(Calculations!$P14/12,"")</f>
        <v>13447.36842105263</v>
      </c>
      <c r="T24" s="36">
        <f>IFERROR(Calculations!$P14/12,"")</f>
        <v>13447.36842105263</v>
      </c>
      <c r="U24" s="36">
        <f>IFERROR(Calculations!$P14/12,"")</f>
        <v>13447.36842105263</v>
      </c>
      <c r="V24" s="36">
        <f>IFERROR(Calculations!$P14/12,"")</f>
        <v>13447.36842105263</v>
      </c>
      <c r="W24" s="36">
        <f>IFERROR(Calculations!$P14/12,"")</f>
        <v>13447.36842105263</v>
      </c>
      <c r="X24" s="36">
        <f>IFERROR(Calculations!$P14/12,"")</f>
        <v>13447.36842105263</v>
      </c>
      <c r="Y24" s="36">
        <f>IFERROR(Calculations!$P14/12,"")</f>
        <v>13447.36842105263</v>
      </c>
      <c r="Z24" s="36">
        <f>SUMIF($B$13:$Y$13,"Yes",B24:Y24)</f>
        <v>174815.7894736842</v>
      </c>
      <c r="AA24" s="36">
        <f>SUM(B24:M24)</f>
        <v>161368.4210526316</v>
      </c>
      <c r="AB24" s="46">
        <f>SUM(B24:Y24)</f>
        <v>322736.8421052633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63447.36842105263</v>
      </c>
      <c r="C30" s="19">
        <f>SUM(C18:C29)</f>
        <v>63447.36842105263</v>
      </c>
      <c r="D30" s="19">
        <f>SUM(D18:D29)</f>
        <v>63447.36842105263</v>
      </c>
      <c r="E30" s="19">
        <f>SUM(E18:E29)</f>
        <v>63447.36842105263</v>
      </c>
      <c r="F30" s="19">
        <f>SUM(F18:F29)</f>
        <v>63447.36842105263</v>
      </c>
      <c r="G30" s="19">
        <f>SUM(G18:G29)</f>
        <v>63447.36842105263</v>
      </c>
      <c r="H30" s="19">
        <f>SUM(H18:H29)</f>
        <v>63447.36842105263</v>
      </c>
      <c r="I30" s="19">
        <f>SUM(I18:I29)</f>
        <v>95354.51259603479</v>
      </c>
      <c r="J30" s="19">
        <f>SUM(J18:J29)</f>
        <v>101735.9414310312</v>
      </c>
      <c r="K30" s="19">
        <f>SUM(K18:K29)</f>
        <v>63447.36842105263</v>
      </c>
      <c r="L30" s="19">
        <f>SUM(L18:L29)</f>
        <v>63447.36842105263</v>
      </c>
      <c r="M30" s="19">
        <f>SUM(M18:M29)</f>
        <v>63447.36842105263</v>
      </c>
      <c r="N30" s="19">
        <f>SUM(N18:N29)</f>
        <v>63447.36842105263</v>
      </c>
      <c r="O30" s="19">
        <f>SUM(O18:O29)</f>
        <v>63447.36842105263</v>
      </c>
      <c r="P30" s="19">
        <f>SUM(P18:P29)</f>
        <v>63447.36842105263</v>
      </c>
      <c r="Q30" s="19">
        <f>SUM(Q18:Q29)</f>
        <v>63447.36842105263</v>
      </c>
      <c r="R30" s="19">
        <f>SUM(R18:R29)</f>
        <v>63447.36842105263</v>
      </c>
      <c r="S30" s="19">
        <f>SUM(S18:S29)</f>
        <v>63447.36842105263</v>
      </c>
      <c r="T30" s="19">
        <f>SUM(T18:T29)</f>
        <v>63447.36842105263</v>
      </c>
      <c r="U30" s="19">
        <f>SUM(U18:U29)</f>
        <v>95354.51259603479</v>
      </c>
      <c r="V30" s="19">
        <f>SUM(V18:V29)</f>
        <v>101735.9414310312</v>
      </c>
      <c r="W30" s="19">
        <f>SUM(W18:W29)</f>
        <v>63447.36842105263</v>
      </c>
      <c r="X30" s="19">
        <f>SUM(X18:X29)</f>
        <v>63447.36842105263</v>
      </c>
      <c r="Y30" s="19">
        <f>SUM(Y18:Y29)</f>
        <v>63447.36842105263</v>
      </c>
      <c r="Z30" s="19">
        <f>SUMIF($B$13:$Y$13,"Yes",B30:Y30)</f>
        <v>895011.5066586448</v>
      </c>
      <c r="AA30" s="19">
        <f>SUM(B30:M30)</f>
        <v>831564.1382375922</v>
      </c>
      <c r="AB30" s="19">
        <f>SUM(B30:Y30)</f>
        <v>1663128.276475184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4000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4000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8000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4000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4000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1212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1212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1212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1212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1200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1200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1200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1200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17472.95990534738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17472.95990534738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17472.95990534738</v>
      </c>
      <c r="AA54" s="46">
        <f>SUM(B54:M54)</f>
        <v>17472.95990534738</v>
      </c>
      <c r="AB54" s="46">
        <f>SUM(B54:Y54)</f>
        <v>34945.91981069475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17472.95990534738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17472.95990534738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17472.95990534738</v>
      </c>
      <c r="AA55" s="46">
        <f>SUM(B55:M55)</f>
        <v>17472.95990534738</v>
      </c>
      <c r="AB55" s="46">
        <f>SUM(B55:Y55)</f>
        <v>34945.91981069475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6188.571428571428</v>
      </c>
      <c r="D66" s="36">
        <f>P66</f>
        <v>6188.571428571428</v>
      </c>
      <c r="E66" s="36">
        <f>Q66</f>
        <v>6188.571428571428</v>
      </c>
      <c r="F66" s="36">
        <f>R66</f>
        <v>6188.571428571428</v>
      </c>
      <c r="G66" s="36">
        <f>S66</f>
        <v>6188.571428571428</v>
      </c>
      <c r="H66" s="36">
        <f>T66</f>
        <v>6188.571428571428</v>
      </c>
      <c r="I66" s="36">
        <f>U66</f>
        <v>6188.571428571428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6188.571428571428</v>
      </c>
      <c r="P66" s="46">
        <f>SUM(P67:P71)</f>
        <v>6188.571428571428</v>
      </c>
      <c r="Q66" s="46">
        <f>SUM(Q67:Q71)</f>
        <v>6188.571428571428</v>
      </c>
      <c r="R66" s="46">
        <f>SUM(R67:R71)</f>
        <v>6188.571428571428</v>
      </c>
      <c r="S66" s="46">
        <f>SUM(S67:S71)</f>
        <v>6188.571428571428</v>
      </c>
      <c r="T66" s="46">
        <f>SUM(T67:T71)</f>
        <v>6188.571428571428</v>
      </c>
      <c r="U66" s="46">
        <f>SUM(U67:U71)</f>
        <v>6188.571428571428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43320</v>
      </c>
      <c r="AA66" s="46">
        <f>SUM(B66:M66)</f>
        <v>43320</v>
      </c>
      <c r="AB66" s="46">
        <f>SUM(B66:Y66)</f>
        <v>86640.00000000001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6188.571428571428</v>
      </c>
      <c r="D67" s="36">
        <f>P67</f>
        <v>6188.571428571428</v>
      </c>
      <c r="E67" s="36">
        <f>Q67</f>
        <v>6188.571428571428</v>
      </c>
      <c r="F67" s="36">
        <f>R67</f>
        <v>6188.571428571428</v>
      </c>
      <c r="G67" s="36">
        <f>S67</f>
        <v>6188.571428571428</v>
      </c>
      <c r="H67" s="36">
        <f>T67</f>
        <v>6188.571428571428</v>
      </c>
      <c r="I67" s="36">
        <f>U67</f>
        <v>6188.571428571428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6188.571428571428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6188.571428571428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6188.571428571428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6188.571428571428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6188.571428571428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6188.571428571428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6188.571428571428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43320</v>
      </c>
      <c r="AA67" s="46">
        <f>SUM(B67:M67)</f>
        <v>43320</v>
      </c>
      <c r="AB67" s="46">
        <f>SUM(B67:Y67)</f>
        <v>86640.00000000001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21000</v>
      </c>
      <c r="C79" s="46">
        <f>Inputs!$B$31</f>
        <v>21000</v>
      </c>
      <c r="D79" s="46">
        <f>Inputs!$B$31</f>
        <v>21000</v>
      </c>
      <c r="E79" s="46">
        <f>Inputs!$B$31</f>
        <v>21000</v>
      </c>
      <c r="F79" s="46">
        <f>Inputs!$B$31</f>
        <v>21000</v>
      </c>
      <c r="G79" s="46">
        <f>Inputs!$B$31</f>
        <v>21000</v>
      </c>
      <c r="H79" s="46">
        <f>Inputs!$B$31</f>
        <v>21000</v>
      </c>
      <c r="I79" s="46">
        <f>Inputs!$B$31</f>
        <v>21000</v>
      </c>
      <c r="J79" s="46">
        <f>Inputs!$B$31</f>
        <v>21000</v>
      </c>
      <c r="K79" s="46">
        <f>Inputs!$B$31</f>
        <v>21000</v>
      </c>
      <c r="L79" s="46">
        <f>Inputs!$B$31</f>
        <v>21000</v>
      </c>
      <c r="M79" s="46">
        <f>Inputs!$B$31</f>
        <v>21000</v>
      </c>
      <c r="N79" s="46">
        <f>Inputs!$B$31</f>
        <v>21000</v>
      </c>
      <c r="O79" s="46">
        <f>Inputs!$B$31</f>
        <v>21000</v>
      </c>
      <c r="P79" s="46">
        <f>Inputs!$B$31</f>
        <v>21000</v>
      </c>
      <c r="Q79" s="46">
        <f>Inputs!$B$31</f>
        <v>21000</v>
      </c>
      <c r="R79" s="46">
        <f>Inputs!$B$31</f>
        <v>21000</v>
      </c>
      <c r="S79" s="46">
        <f>Inputs!$B$31</f>
        <v>21000</v>
      </c>
      <c r="T79" s="46">
        <f>Inputs!$B$31</f>
        <v>21000</v>
      </c>
      <c r="U79" s="46">
        <f>Inputs!$B$31</f>
        <v>21000</v>
      </c>
      <c r="V79" s="46">
        <f>Inputs!$B$31</f>
        <v>21000</v>
      </c>
      <c r="W79" s="46">
        <f>Inputs!$B$31</f>
        <v>21000</v>
      </c>
      <c r="X79" s="46">
        <f>Inputs!$B$31</f>
        <v>21000</v>
      </c>
      <c r="Y79" s="46">
        <f>Inputs!$B$31</f>
        <v>21000</v>
      </c>
      <c r="Z79" s="46">
        <f>SUMIF($B$13:$Y$13,"Yes",B79:Y79)</f>
        <v>273000</v>
      </c>
      <c r="AA79" s="46">
        <f>SUM(B79:M79)</f>
        <v>252000</v>
      </c>
      <c r="AB79" s="46">
        <f>SUM(B79:Y79)</f>
        <v>504000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2500000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2500000</v>
      </c>
      <c r="AA80" s="46">
        <f>SUM(B80:M80)</f>
        <v>2500000</v>
      </c>
      <c r="AB80" s="46">
        <f>SUM(B80:Y80)</f>
        <v>2500000</v>
      </c>
    </row>
    <row r="81" spans="1:30">
      <c r="A81" s="43" t="s">
        <v>51</v>
      </c>
      <c r="B81" s="46">
        <f>(SUM($AA$18:$AA$29)-SUM($AA$36,$AA$42,$AA$48,$AA$54,$AA$60,$AA$66,$AA$72:$AA$79))*Parameters!$B$37/12</f>
        <v>14661.97261107483</v>
      </c>
      <c r="C81" s="46">
        <f>(SUM($AA$18:$AA$29)-SUM($AA$36,$AA$42,$AA$48,$AA$54,$AA$60,$AA$66,$AA$72:$AA$79))*Parameters!$B$37/12</f>
        <v>14661.97261107483</v>
      </c>
      <c r="D81" s="46">
        <f>(SUM($AA$18:$AA$29)-SUM($AA$36,$AA$42,$AA$48,$AA$54,$AA$60,$AA$66,$AA$72:$AA$79))*Parameters!$B$37/12</f>
        <v>14661.97261107483</v>
      </c>
      <c r="E81" s="46">
        <f>(SUM($AA$18:$AA$29)-SUM($AA$36,$AA$42,$AA$48,$AA$54,$AA$60,$AA$66,$AA$72:$AA$79))*Parameters!$B$37/12</f>
        <v>14661.97261107483</v>
      </c>
      <c r="F81" s="46">
        <f>(SUM($AA$18:$AA$29)-SUM($AA$36,$AA$42,$AA$48,$AA$54,$AA$60,$AA$66,$AA$72:$AA$79))*Parameters!$B$37/12</f>
        <v>14661.97261107483</v>
      </c>
      <c r="G81" s="46">
        <f>(SUM($AA$18:$AA$29)-SUM($AA$36,$AA$42,$AA$48,$AA$54,$AA$60,$AA$66,$AA$72:$AA$79))*Parameters!$B$37/12</f>
        <v>14661.97261107483</v>
      </c>
      <c r="H81" s="46">
        <f>(SUM($AA$18:$AA$29)-SUM($AA$36,$AA$42,$AA$48,$AA$54,$AA$60,$AA$66,$AA$72:$AA$79))*Parameters!$B$37/12</f>
        <v>14661.97261107483</v>
      </c>
      <c r="I81" s="46">
        <f>(SUM($AA$18:$AA$29)-SUM($AA$36,$AA$42,$AA$48,$AA$54,$AA$60,$AA$66,$AA$72:$AA$79))*Parameters!$B$37/12</f>
        <v>14661.97261107483</v>
      </c>
      <c r="J81" s="46">
        <f>(SUM($AA$18:$AA$29)-SUM($AA$36,$AA$42,$AA$48,$AA$54,$AA$60,$AA$66,$AA$72:$AA$79))*Parameters!$B$37/12</f>
        <v>14661.97261107483</v>
      </c>
      <c r="K81" s="46">
        <f>(SUM($AA$18:$AA$29)-SUM($AA$36,$AA$42,$AA$48,$AA$54,$AA$60,$AA$66,$AA$72:$AA$79))*Parameters!$B$37/12</f>
        <v>14661.97261107483</v>
      </c>
      <c r="L81" s="46">
        <f>(SUM($AA$18:$AA$29)-SUM($AA$36,$AA$42,$AA$48,$AA$54,$AA$60,$AA$66,$AA$72:$AA$79))*Parameters!$B$37/12</f>
        <v>14661.97261107483</v>
      </c>
      <c r="M81" s="46">
        <f>(SUM($AA$18:$AA$29)-SUM($AA$36,$AA$42,$AA$48,$AA$54,$AA$60,$AA$66,$AA$72:$AA$79))*Parameters!$B$37/12</f>
        <v>14661.97261107483</v>
      </c>
      <c r="N81" s="46">
        <f>(SUM($AA$18:$AA$29)-SUM($AA$36,$AA$42,$AA$48,$AA$54,$AA$60,$AA$66,$AA$72:$AA$79))*Parameters!$B$37/12</f>
        <v>14661.97261107483</v>
      </c>
      <c r="O81" s="46">
        <f>(SUM($AA$18:$AA$29)-SUM($AA$36,$AA$42,$AA$48,$AA$54,$AA$60,$AA$66,$AA$72:$AA$79))*Parameters!$B$37/12</f>
        <v>14661.97261107483</v>
      </c>
      <c r="P81" s="46">
        <f>(SUM($AA$18:$AA$29)-SUM($AA$36,$AA$42,$AA$48,$AA$54,$AA$60,$AA$66,$AA$72:$AA$79))*Parameters!$B$37/12</f>
        <v>14661.97261107483</v>
      </c>
      <c r="Q81" s="46">
        <f>(SUM($AA$18:$AA$29)-SUM($AA$36,$AA$42,$AA$48,$AA$54,$AA$60,$AA$66,$AA$72:$AA$79))*Parameters!$B$37/12</f>
        <v>14661.97261107483</v>
      </c>
      <c r="R81" s="46">
        <f>(SUM($AA$18:$AA$29)-SUM($AA$36,$AA$42,$AA$48,$AA$54,$AA$60,$AA$66,$AA$72:$AA$79))*Parameters!$B$37/12</f>
        <v>14661.97261107483</v>
      </c>
      <c r="S81" s="46">
        <f>(SUM($AA$18:$AA$29)-SUM($AA$36,$AA$42,$AA$48,$AA$54,$AA$60,$AA$66,$AA$72:$AA$79))*Parameters!$B$37/12</f>
        <v>14661.97261107483</v>
      </c>
      <c r="T81" s="46">
        <f>(SUM($AA$18:$AA$29)-SUM($AA$36,$AA$42,$AA$48,$AA$54,$AA$60,$AA$66,$AA$72:$AA$79))*Parameters!$B$37/12</f>
        <v>14661.97261107483</v>
      </c>
      <c r="U81" s="46">
        <f>(SUM($AA$18:$AA$29)-SUM($AA$36,$AA$42,$AA$48,$AA$54,$AA$60,$AA$66,$AA$72:$AA$79))*Parameters!$B$37/12</f>
        <v>14661.97261107483</v>
      </c>
      <c r="V81" s="46">
        <f>(SUM($AA$18:$AA$29)-SUM($AA$36,$AA$42,$AA$48,$AA$54,$AA$60,$AA$66,$AA$72:$AA$79))*Parameters!$B$37/12</f>
        <v>14661.97261107483</v>
      </c>
      <c r="W81" s="46">
        <f>(SUM($AA$18:$AA$29)-SUM($AA$36,$AA$42,$AA$48,$AA$54,$AA$60,$AA$66,$AA$72:$AA$79))*Parameters!$B$37/12</f>
        <v>14661.97261107483</v>
      </c>
      <c r="X81" s="46">
        <f>(SUM($AA$18:$AA$29)-SUM($AA$36,$AA$42,$AA$48,$AA$54,$AA$60,$AA$66,$AA$72:$AA$79))*Parameters!$B$37/12</f>
        <v>14661.97261107483</v>
      </c>
      <c r="Y81" s="46">
        <f>(SUM($AA$18:$AA$29)-SUM($AA$36,$AA$42,$AA$48,$AA$54,$AA$60,$AA$66,$AA$72:$AA$79))*Parameters!$B$37/12</f>
        <v>14661.97261107483</v>
      </c>
      <c r="Z81" s="46">
        <f>SUMIF($B$13:$Y$13,"Yes",B81:Y81)</f>
        <v>190605.6439439728</v>
      </c>
      <c r="AA81" s="46">
        <f>SUM(B81:M81)</f>
        <v>175943.671332898</v>
      </c>
      <c r="AB81" s="46">
        <f>SUM(B81:Y81)</f>
        <v>351887.3426657958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41036.97261107483</v>
      </c>
      <c r="C88" s="19">
        <f>SUM(C72:C82,C66,C60,C54,C48,C42,C36)</f>
        <v>56437.54403964626</v>
      </c>
      <c r="D88" s="19">
        <f>SUM(D72:D82,D66,D60,D54,D48,D42,D36)</f>
        <v>47225.54403964626</v>
      </c>
      <c r="E88" s="19">
        <f>SUM(E72:E82,E66,E60,E54,E48,E42,E36)</f>
        <v>47225.54403964626</v>
      </c>
      <c r="F88" s="19">
        <f>SUM(F72:F82,F66,F60,F54,F48,F42,F36)</f>
        <v>48425.54403964626</v>
      </c>
      <c r="G88" s="19">
        <f>SUM(G72:G82,G66,G60,G54,G48,G42,G36)</f>
        <v>51225.54403964626</v>
      </c>
      <c r="H88" s="19">
        <f>SUM(H72:H82,H66,H60,H54,H48,H42,H36)</f>
        <v>2547225.544039646</v>
      </c>
      <c r="I88" s="19">
        <f>SUM(I72:I82,I66,I60,I54,I48,I42,I36)</f>
        <v>64698.50394499363</v>
      </c>
      <c r="J88" s="19">
        <f>SUM(J72:J82,J66,J60,J54,J48,J42,J36)</f>
        <v>41036.97261107483</v>
      </c>
      <c r="K88" s="19">
        <f>SUM(K72:K82,K66,K60,K54,K48,K42,K36)</f>
        <v>41036.97261107483</v>
      </c>
      <c r="L88" s="19">
        <f>SUM(L72:L82,L66,L60,L54,L48,L42,L36)</f>
        <v>41036.97261107483</v>
      </c>
      <c r="M88" s="19">
        <f>SUM(M72:M82,M66,M60,M54,M48,M42,M36)</f>
        <v>41036.97261107483</v>
      </c>
      <c r="N88" s="19">
        <f>SUM(N72:N82,N66,N60,N54,N48,N42,N36)</f>
        <v>41036.97261107483</v>
      </c>
      <c r="O88" s="19">
        <f>SUM(O72:O82,O66,O60,O54,O48,O42,O36)</f>
        <v>56437.54403964626</v>
      </c>
      <c r="P88" s="19">
        <f>SUM(P72:P82,P66,P60,P54,P48,P42,P36)</f>
        <v>47225.54403964626</v>
      </c>
      <c r="Q88" s="19">
        <f>SUM(Q72:Q82,Q66,Q60,Q54,Q48,Q42,Q36)</f>
        <v>47225.54403964626</v>
      </c>
      <c r="R88" s="19">
        <f>SUM(R72:R82,R66,R60,R54,R48,R42,R36)</f>
        <v>48425.54403964626</v>
      </c>
      <c r="S88" s="19">
        <f>SUM(S72:S82,S66,S60,S54,S48,S42,S36)</f>
        <v>51225.54403964626</v>
      </c>
      <c r="T88" s="19">
        <f>SUM(T72:T82,T66,T60,T54,T48,T42,T36)</f>
        <v>47225.54403964626</v>
      </c>
      <c r="U88" s="19">
        <f>SUM(U72:U82,U66,U60,U54,U48,U42,U36)</f>
        <v>64698.50394499363</v>
      </c>
      <c r="V88" s="19">
        <f>SUM(V72:V82,V66,V60,V54,V48,V42,V36)</f>
        <v>41036.97261107483</v>
      </c>
      <c r="W88" s="19">
        <f>SUM(W72:W82,W66,W60,W54,W48,W42,W36)</f>
        <v>41036.97261107483</v>
      </c>
      <c r="X88" s="19">
        <f>SUM(X72:X82,X66,X60,X54,X48,X42,X36)</f>
        <v>41036.97261107483</v>
      </c>
      <c r="Y88" s="19">
        <f>SUM(Y72:Y82,Y66,Y60,Y54,Y48,Y42,Y36)</f>
        <v>41036.97261107483</v>
      </c>
      <c r="Z88" s="19">
        <f>SUMIF($B$13:$Y$13,"Yes",B88:Y88)</f>
        <v>3108685.60384932</v>
      </c>
      <c r="AA88" s="19">
        <f>SUM(B88:M88)</f>
        <v>3067648.631238245</v>
      </c>
      <c r="AB88" s="19">
        <f>SUM(B88:Y88)</f>
        <v>3635297.262476489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62000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24000000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2800000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27832000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20000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270000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4</v>
      </c>
      <c r="D19" s="145">
        <v>1</v>
      </c>
      <c r="E19" s="20"/>
      <c r="F19" s="145" t="s">
        <v>92</v>
      </c>
      <c r="G19" s="20"/>
      <c r="H19" s="20"/>
      <c r="I19" s="145" t="s">
        <v>112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50000</v>
      </c>
    </row>
    <row r="31" spans="1:48">
      <c r="A31" s="5" t="s">
        <v>119</v>
      </c>
      <c r="B31" s="158">
        <v>21000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 t="s">
        <v>125</v>
      </c>
      <c r="B35" s="159">
        <v>2500000</v>
      </c>
      <c r="C35" s="145" t="s">
        <v>126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120000</v>
      </c>
    </row>
    <row r="46" spans="1:48" customHeight="1" ht="30">
      <c r="A46" s="57" t="s">
        <v>135</v>
      </c>
      <c r="B46" s="161">
        <v>2800000</v>
      </c>
    </row>
    <row r="47" spans="1:48" customHeight="1" ht="30">
      <c r="A47" s="57" t="s">
        <v>136</v>
      </c>
      <c r="B47" s="161">
        <v>50000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62000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20000</v>
      </c>
      <c r="B56" s="159">
        <v>20000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151</v>
      </c>
      <c r="C65" s="10" t="s">
        <v>152</v>
      </c>
    </row>
    <row r="66" spans="1:48">
      <c r="A66" s="142" t="s">
        <v>153</v>
      </c>
      <c r="B66" s="159">
        <v>350000</v>
      </c>
      <c r="C66" s="163">
        <v>330000</v>
      </c>
      <c r="D66" s="49">
        <f>INDEX(Parameters!$D$79:$D$90,MATCH(Inputs!A66,Parameters!$C$79:$C$90,0))</f>
        <v>7</v>
      </c>
    </row>
    <row r="67" spans="1:48">
      <c r="A67" s="143" t="s">
        <v>94</v>
      </c>
      <c r="B67" s="157">
        <v>460000</v>
      </c>
      <c r="C67" s="165">
        <v>400000</v>
      </c>
      <c r="D67" s="49">
        <f>INDEX(Parameters!$D$79:$D$90,MATCH(Inputs!A67,Parameters!$C$79:$C$90,0))</f>
        <v>8</v>
      </c>
    </row>
    <row r="68" spans="1:48">
      <c r="A68" s="143" t="s">
        <v>154</v>
      </c>
      <c r="B68" s="157">
        <v>460000</v>
      </c>
      <c r="C68" s="165">
        <v>420000</v>
      </c>
      <c r="D68" s="49">
        <f>INDEX(Parameters!$D$79:$D$90,MATCH(Inputs!A68,Parameters!$C$79:$C$90,0))</f>
        <v>9</v>
      </c>
    </row>
    <row r="69" spans="1:48">
      <c r="A69" s="143" t="s">
        <v>155</v>
      </c>
      <c r="B69" s="157">
        <v>520000</v>
      </c>
      <c r="C69" s="165">
        <v>450000</v>
      </c>
      <c r="D69" s="49">
        <f>INDEX(Parameters!$D$79:$D$90,MATCH(Inputs!A69,Parameters!$C$79:$C$90,0))</f>
        <v>10</v>
      </c>
    </row>
    <row r="70" spans="1:48">
      <c r="A70" s="143" t="s">
        <v>156</v>
      </c>
      <c r="B70" s="157">
        <v>530000</v>
      </c>
      <c r="C70" s="165">
        <v>450000</v>
      </c>
      <c r="D70" s="49">
        <f>INDEX(Parameters!$D$79:$D$90,MATCH(Inputs!A70,Parameters!$C$79:$C$90,0))</f>
        <v>11</v>
      </c>
    </row>
    <row r="71" spans="1:48">
      <c r="A71" s="144" t="s">
        <v>97</v>
      </c>
      <c r="B71" s="158">
        <v>540000</v>
      </c>
      <c r="C71" s="167">
        <v>490000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20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43040</v>
      </c>
      <c r="D4" s="38">
        <f>IFERROR(DATE(YEAR(B4),MONTH(B4)+T4,DAY(B4)),"")</f>
        <v>43132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43132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3798.469544640734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63814.28834996434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8736.479952673688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43070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161368.4210526316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20000</v>
      </c>
      <c r="B23" s="75">
        <f>SUM(C23:D23)</f>
        <v>366.6666666666667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366.6666666666667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42960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42948</v>
      </c>
      <c r="F33" t="s">
        <v>162</v>
      </c>
      <c r="G33" s="128">
        <f>IF(Inputs!B79="","",DATE(YEAR(Inputs!B79),MONTH(Inputs!B79),DAY(Inputs!B79)))</f>
        <v>42929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42991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42979</v>
      </c>
      <c r="F34" t="s">
        <v>163</v>
      </c>
      <c r="G34" s="128">
        <f>IF(Inputs!B80="","",DATE(YEAR(Inputs!B80),MONTH(Inputs!B80),DAY(Inputs!B80)))</f>
        <v>42960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43021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43009</v>
      </c>
      <c r="F35" t="s">
        <v>165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43052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43040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43082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43070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43113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43101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43144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43132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43172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43160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43203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43191</v>
      </c>
      <c r="F41" t="s">
        <v>229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43233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43221</v>
      </c>
      <c r="F42" t="s">
        <v>230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43264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43294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316</v>
      </c>
      <c r="I52" s="12" t="s">
        <v>132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316</v>
      </c>
      <c r="I77" s="12" t="s">
        <v>352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112</v>
      </c>
      <c r="H78" s="12" t="s">
        <v>132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126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168</v>
      </c>
      <c r="J79" s="70" t="s">
        <v>361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97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