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<sst xmlns="http://schemas.openxmlformats.org/spreadsheetml/2006/main" uniqueCount="377">
  <si>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</si>
  <si>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</si>
  <si>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</si>
  <si>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</si>
  <si>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</si>
  <si>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</si>
  <si>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</si>
  <si>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</si>
  <si>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</si>
  <si>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</si>
  <si>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</si>
  <si>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</si>
  <si>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</si>
  <si>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</si>
  <si>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</si>
  <si>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</si>
  <si>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</si>
  <si>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</si>
  <si>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</si>
  <si>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</si>
  <si>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</si>
  <si>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</si>
  <si>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</si>
  <si>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</si>
  <si>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</si>
  <si>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</si>
  <si>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</si>
  <si>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</si>
  <si>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</si>
  <si>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</si>
  <si>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</si>
  <si>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</si>
  <si>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</si>
  <si>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</si>
  <si>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</si>
  <si>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</si>
  <si>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</si>
  <si>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</si>
  <si>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</si>
  <si>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</si>
  <si>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</si>
  <si>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</si>
  <si>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</si>
  <si>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</si>
  <si>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</si>
  <si>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</si>
  <si>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</si>
  <si>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</si>
  <si>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</si>
  <si>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</si>
  <si>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</si>
  <si>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</si>
  <si>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</si>
  <si>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</si>
  <si>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</si>
  <si>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</si>
  <si>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</si>
  <si>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</si>
  <si>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</si>
  <si>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</si>
  <si>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</si>
  <si>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</si>
  <si>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</si>
  <si>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</si>
  <si>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</si>
  <si>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</si>
  <si>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</si>
  <si>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</si>
  <si>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</si>
  <si>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</si>
  <si>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</si>
  <si>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</si>
  <si>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</si>
  <si>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</si>
  <si>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</si>
  <si>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</si>
  <si>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</si>
  <si>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</si>
  <si>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</si>
  <si>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</si>
  <si>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</si>
  <si>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</si>
  <si>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</si>
  <si>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</si>
  <si>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</si>
  <si>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</si>
  <si>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</si>
  <si>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</si>
  <si>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</si>
  <si>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</si>
  <si>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</si>
  <si>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No</t>
  </si>
  <si>
    <t>Yes</t>
  </si>
  <si>
    <t>December</t>
  </si>
  <si>
    <t>Other crops</t>
  </si>
  <si>
    <t>Other farmers</t>
  </si>
  <si>
    <t>Potatoes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</si>
  <si>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</si>
  <si>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</si>
  <si>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</si>
  <si>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</si>
  <si>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</si>
  <si>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</si>
  <si>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</si>
  <si>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</si>
  <si>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</si>
  <si>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</si>
  <si>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</si>
  <si>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</si>
  <si>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</si>
  <si>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</si>
  <si>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</si>
  <si>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</si>
  <si>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</si>
  <si>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</si>
  <si>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</si>
  <si>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</si>
  <si>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</si>
  <si>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</si>
  <si>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Grocery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</si>
  <si>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</si>
  <si>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</si>
  <si>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</si>
  <si>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</si>
  <si>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</si>
  <si>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</si>
  <si>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</si>
  <si>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</si>
  <si>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</si>
  <si>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</si>
  <si>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</si>
  <si>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</si>
  <si>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</si>
  <si>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</si>
  <si>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</si>
  <si>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</si>
  <si>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</si>
  <si>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</si>
  <si>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</si>
  <si>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</si>
  <si>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</si>
  <si>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</si>
  <si>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</si>
  <si>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</si>
  <si>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</si>
  <si>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</si>
  <si>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</si>
  <si>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3/17/2016</t>
  </si>
  <si>
    <t xml:space="preserve">Faulu kenya </t>
  </si>
  <si>
    <t xml:space="preserve">cleared </t>
  </si>
  <si>
    <t>1/2/2015</t>
  </si>
  <si>
    <t xml:space="preserve">Cleared </t>
  </si>
  <si>
    <t>6/30/2014</t>
  </si>
  <si>
    <t>8/10/2016</t>
  </si>
  <si>
    <t xml:space="preserve">Equity Bank </t>
  </si>
  <si>
    <t>7/21/2015</t>
  </si>
  <si>
    <t>Family Bank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</si>
  <si>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</si>
  <si>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</si>
  <si>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</si>
  <si>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</si>
  <si>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</si>
  <si>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</si>
  <si>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</si>
  <si>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</si>
  <si>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</si>
  <si>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</si>
  <si>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</si>
  <si>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</si>
  <si>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2017/7/17</t>
  </si>
  <si>
    <t>Loan terms</t>
  </si>
  <si>
    <t>Expected disbursement date</t>
  </si>
  <si>
    <t>2017/7/22</t>
  </si>
  <si>
    <t>Expected first repayment date</t>
  </si>
  <si>
    <t>2017/8/25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</si>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</sst>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Chicken_broilers, Chicken_broilers, Chicken: sale of ex layers</v>
      </c>
    </row>
    <row r="8" spans="1:7">
      <c r="B8" s="1" t="s">
        <v>4</v>
      </c>
      <c r="C8" t="str">
        <f>IF(Inputs!B29="","None",Inputs!B29)</f>
        <v>Grocery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0.1081833199774025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0.03165467625899281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976179.1401303029</v>
      </c>
    </row>
    <row r="18" spans="1:7">
      <c r="B18" s="1" t="s">
        <v>12</v>
      </c>
      <c r="C18" s="36">
        <f>MIN(Output!B6:M6)</f>
        <v>24049.15888164984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183196.467269276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113600</v>
      </c>
    </row>
    <row r="25" spans="1:7">
      <c r="B25" s="1" t="s">
        <v>18</v>
      </c>
      <c r="C25" s="36">
        <f>MAX(Inputs!A56:A60)</f>
        <v>160000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33049.15888164984</v>
      </c>
      <c r="C6" s="51">
        <f>C30-C88</f>
        <v>24049.15888164984</v>
      </c>
      <c r="D6" s="51">
        <f>D30-D88</f>
        <v>174621.467269276</v>
      </c>
      <c r="E6" s="51">
        <f>E30-E88</f>
        <v>183196.467269276</v>
      </c>
      <c r="F6" s="51">
        <f>F30-F88</f>
        <v>41624.15888164984</v>
      </c>
      <c r="G6" s="51">
        <f>G30-G88</f>
        <v>31549.15888164984</v>
      </c>
      <c r="H6" s="51">
        <f>H30-H88</f>
        <v>33049.15888164984</v>
      </c>
      <c r="I6" s="51">
        <f>I30-I88</f>
        <v>24049.15888164984</v>
      </c>
      <c r="J6" s="51">
        <f>J30-J88</f>
        <v>174621.467269276</v>
      </c>
      <c r="K6" s="51">
        <f>K30-K88</f>
        <v>183196.467269276</v>
      </c>
      <c r="L6" s="51">
        <f>L30-L88</f>
        <v>41624.15888164984</v>
      </c>
      <c r="M6" s="51">
        <f>M30-M88</f>
        <v>31549.15888164984</v>
      </c>
      <c r="N6" s="51">
        <f>N30-N88</f>
        <v>33049.15888164984</v>
      </c>
      <c r="O6" s="51">
        <f>O30-O88</f>
        <v>24049.15888164984</v>
      </c>
      <c r="P6" s="51">
        <f>P30-P88</f>
        <v>174621.467269276</v>
      </c>
      <c r="Q6" s="51">
        <f>Q30-Q88</f>
        <v>183196.467269276</v>
      </c>
      <c r="R6" s="51">
        <f>R30-R88</f>
        <v>41624.15888164984</v>
      </c>
      <c r="S6" s="51">
        <f>S30-S88</f>
        <v>31549.15888164984</v>
      </c>
      <c r="T6" s="51">
        <f>T30-T88</f>
        <v>33049.15888164984</v>
      </c>
      <c r="U6" s="51">
        <f>U30-U88</f>
        <v>24049.15888164984</v>
      </c>
      <c r="V6" s="51">
        <f>V30-V88</f>
        <v>174621.467269276</v>
      </c>
      <c r="W6" s="51">
        <f>W30-W88</f>
        <v>183196.467269276</v>
      </c>
      <c r="X6" s="51">
        <f>X30-X88</f>
        <v>41624.15888164984</v>
      </c>
      <c r="Y6" s="51">
        <f>Y30-Y88</f>
        <v>31549.15888164984</v>
      </c>
      <c r="Z6" s="51">
        <f>SUMIF($B$13:$Y$13,"Yes",B6:Y6)</f>
        <v>1009228.299011953</v>
      </c>
      <c r="AA6" s="51">
        <f>AA30-AA88</f>
        <v>976179.1401303029</v>
      </c>
      <c r="AB6" s="51">
        <f>AB30-AB88</f>
        <v>1952358.280260605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26470</v>
      </c>
      <c r="I7" s="80">
        <f>IF(ISERROR(VLOOKUP(MONTH(I5),Inputs!$D$66:$D$71,1,0)),"",INDEX(Inputs!$B$66:$B$71,MATCH(MONTH(Output!I5),Inputs!$D$66:$D$71,0))-INDEX(Inputs!$C$66:$C$71,MATCH(MONTH(Output!I5),Inputs!$D$66:$D$71,0)))</f>
        <v>21990</v>
      </c>
      <c r="J7" s="80">
        <f>IF(ISERROR(VLOOKUP(MONTH(J5),Inputs!$D$66:$D$71,1,0)),"",INDEX(Inputs!$B$66:$B$71,MATCH(MONTH(Output!J5),Inputs!$D$66:$D$71,0))-INDEX(Inputs!$C$66:$C$71,MATCH(MONTH(Output!J5),Inputs!$D$66:$D$71,0)))</f>
        <v>20613</v>
      </c>
      <c r="K7" s="80">
        <f>IF(ISERROR(VLOOKUP(MONTH(K5),Inputs!$D$66:$D$71,1,0)),"",INDEX(Inputs!$B$66:$B$71,MATCH(MONTH(Output!K5),Inputs!$D$66:$D$71,0))-INDEX(Inputs!$C$66:$C$71,MATCH(MONTH(Output!K5),Inputs!$D$66:$D$71,0)))</f>
        <v>33474</v>
      </c>
      <c r="L7" s="80">
        <f>IF(ISERROR(VLOOKUP(MONTH(L5),Inputs!$D$66:$D$71,1,0)),"",INDEX(Inputs!$B$66:$B$71,MATCH(MONTH(Output!L5),Inputs!$D$66:$D$71,0))-INDEX(Inputs!$C$66:$C$71,MATCH(MONTH(Output!L5),Inputs!$D$66:$D$71,0)))</f>
        <v>29401</v>
      </c>
      <c r="M7" s="80">
        <f>IF(ISERROR(VLOOKUP(MONTH(M5),Inputs!$D$66:$D$71,1,0)),"",INDEX(Inputs!$B$66:$B$71,MATCH(MONTH(Output!M5),Inputs!$D$66:$D$71,0))-INDEX(Inputs!$C$66:$C$71,MATCH(MONTH(Output!M5),Inputs!$D$66:$D$71,0)))</f>
        <v>25010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26470</v>
      </c>
      <c r="U7" s="80">
        <f>IF(ISERROR(VLOOKUP(MONTH(U5),Inputs!$D$66:$D$71,1,0)),"",INDEX(Inputs!$B$66:$B$71,MATCH(MONTH(Output!U5),Inputs!$D$66:$D$71,0))-INDEX(Inputs!$C$66:$C$71,MATCH(MONTH(Output!U5),Inputs!$D$66:$D$71,0)))</f>
        <v>21990</v>
      </c>
      <c r="V7" s="80">
        <f>IF(ISERROR(VLOOKUP(MONTH(V5),Inputs!$D$66:$D$71,1,0)),"",INDEX(Inputs!$B$66:$B$71,MATCH(MONTH(Output!V5),Inputs!$D$66:$D$71,0))-INDEX(Inputs!$C$66:$C$71,MATCH(MONTH(Output!V5),Inputs!$D$66:$D$71,0)))</f>
        <v>20613</v>
      </c>
      <c r="W7" s="80">
        <f>IF(ISERROR(VLOOKUP(MONTH(W5),Inputs!$D$66:$D$71,1,0)),"",INDEX(Inputs!$B$66:$B$71,MATCH(MONTH(Output!W5),Inputs!$D$66:$D$71,0))-INDEX(Inputs!$C$66:$C$71,MATCH(MONTH(Output!W5),Inputs!$D$66:$D$71,0)))</f>
        <v>33474</v>
      </c>
      <c r="X7" s="80">
        <f>IF(ISERROR(VLOOKUP(MONTH(X5),Inputs!$D$66:$D$71,1,0)),"",INDEX(Inputs!$B$66:$B$71,MATCH(MONTH(Output!X5),Inputs!$D$66:$D$71,0))-INDEX(Inputs!$C$66:$C$71,MATCH(MONTH(Output!X5),Inputs!$D$66:$D$71,0)))</f>
        <v>29401</v>
      </c>
      <c r="Y7" s="80">
        <f>IF(ISERROR(VLOOKUP(MONTH(Y5),Inputs!$D$66:$D$71,1,0)),"",INDEX(Inputs!$B$66:$B$71,MATCH(MONTH(Output!Y5),Inputs!$D$66:$D$71,0))-INDEX(Inputs!$C$66:$C$71,MATCH(MONTH(Output!Y5),Inputs!$D$66:$D$71,0)))</f>
        <v>25010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133049.1588816498</v>
      </c>
      <c r="C11" s="80">
        <f>C6+C9-C10</f>
        <v>14049.15888164984</v>
      </c>
      <c r="D11" s="80">
        <f>D6+D9-D10</f>
        <v>164621.467269276</v>
      </c>
      <c r="E11" s="80">
        <f>E6+E9-E10</f>
        <v>173196.467269276</v>
      </c>
      <c r="F11" s="80">
        <f>F6+F9-F10</f>
        <v>31624.15888164984</v>
      </c>
      <c r="G11" s="80">
        <f>G6+G9-G10</f>
        <v>21549.15888164984</v>
      </c>
      <c r="H11" s="80">
        <f>H6+H9-H10</f>
        <v>23049.15888164984</v>
      </c>
      <c r="I11" s="80">
        <f>I6+I9-I10</f>
        <v>14049.15888164984</v>
      </c>
      <c r="J11" s="80">
        <f>J6+J9-J10</f>
        <v>164621.467269276</v>
      </c>
      <c r="K11" s="80">
        <f>K6+K9-K10</f>
        <v>173196.467269276</v>
      </c>
      <c r="L11" s="80">
        <f>L6+L9-L10</f>
        <v>31624.15888164984</v>
      </c>
      <c r="M11" s="80">
        <f>M6+M9-M10</f>
        <v>21549.15888164984</v>
      </c>
      <c r="N11" s="80">
        <f>N6+N9-N10</f>
        <v>23049.15888164984</v>
      </c>
      <c r="O11" s="80">
        <f>O6+O9-O10</f>
        <v>24049.15888164984</v>
      </c>
      <c r="P11" s="80">
        <f>P6+P9-P10</f>
        <v>174621.467269276</v>
      </c>
      <c r="Q11" s="80">
        <f>Q6+Q9-Q10</f>
        <v>183196.467269276</v>
      </c>
      <c r="R11" s="80">
        <f>R6+R9-R10</f>
        <v>41624.15888164984</v>
      </c>
      <c r="S11" s="80">
        <f>S6+S9-S10</f>
        <v>31549.15888164984</v>
      </c>
      <c r="T11" s="80">
        <f>T6+T9-T10</f>
        <v>33049.15888164984</v>
      </c>
      <c r="U11" s="80">
        <f>U6+U9-U10</f>
        <v>24049.15888164984</v>
      </c>
      <c r="V11" s="80">
        <f>V6+V9-V10</f>
        <v>174621.467269276</v>
      </c>
      <c r="W11" s="80">
        <f>W6+W9-W10</f>
        <v>183196.467269276</v>
      </c>
      <c r="X11" s="80">
        <f>X6+X9-X10</f>
        <v>41624.15888164984</v>
      </c>
      <c r="Y11" s="80">
        <f>Y6+Y9-Y10</f>
        <v>31549.15888164984</v>
      </c>
      <c r="Z11" s="85">
        <f>SUMIF($B$13:$Y$13,"Yes",B11:Y11)</f>
        <v>989228.2990119527</v>
      </c>
      <c r="AA11" s="80">
        <f>SUM(B11:M11)</f>
        <v>966179.1401303029</v>
      </c>
      <c r="AB11" s="46">
        <f>SUM(B11:Y11)</f>
        <v>1932358.280260606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0.06365440535822298</v>
      </c>
      <c r="D12" s="82">
        <f>IF(D13="Yes",IF(SUM($B$10:D10)/(SUM($B$6:D6)+SUM($B$9:D9))&lt;0,999.99,SUM($B$10:D10)/(SUM($B$6:D6)+SUM($B$9:D9))),"")</f>
        <v>0.06029185144333778</v>
      </c>
      <c r="E12" s="82">
        <f>IF(E13="Yes",IF(SUM($B$10:E10)/(SUM($B$6:E6)+SUM($B$9:E9))&lt;0,999.99,SUM($B$10:E10)/(SUM($B$6:E6)+SUM($B$9:E9))),"")</f>
        <v>0.05826190155367934</v>
      </c>
      <c r="F12" s="82">
        <f>IF(F13="Yes",IF(SUM($B$10:F10)/(SUM($B$6:F6)+SUM($B$9:F9))&lt;0,999.99,SUM($B$10:F10)/(SUM($B$6:F6)+SUM($B$9:F9))),"")</f>
        <v>0.0718725885779591</v>
      </c>
      <c r="G12" s="82">
        <f>IF(G13="Yes",IF(SUM($B$10:G10)/(SUM($B$6:G6)+SUM($B$9:G9))&lt;0,999.99,SUM($B$10:G10)/(SUM($B$6:G6)+SUM($B$9:G9))),"")</f>
        <v>0.08502106234337867</v>
      </c>
      <c r="H12" s="82">
        <f>IF(H13="Yes",IF(SUM($B$10:H10)/(SUM($B$6:H6)+SUM($B$9:H9))&lt;0,999.99,SUM($B$10:H10)/(SUM($B$6:H6)+SUM($B$9:H9))),"")</f>
        <v>0.09659677814928012</v>
      </c>
      <c r="I12" s="82">
        <f>IF(I13="Yes",IF(SUM($B$10:I10)/(SUM($B$6:I6)+SUM($B$9:I9))&lt;0,999.99,SUM($B$10:I10)/(SUM($B$6:I6)+SUM($B$9:I9))),"")</f>
        <v>0.1084955271488486</v>
      </c>
      <c r="J12" s="82">
        <f>IF(J13="Yes",IF(SUM($B$10:J10)/(SUM($B$6:J6)+SUM($B$9:J9))&lt;0,999.99,SUM($B$10:J10)/(SUM($B$6:J6)+SUM($B$9:J9))),"")</f>
        <v>0.09758366320479891</v>
      </c>
      <c r="K12" s="82">
        <f>IF(K13="Yes",IF(SUM($B$10:K10)/(SUM($B$6:K6)+SUM($B$9:K9))&lt;0,999.99,SUM($B$10:K10)/(SUM($B$6:K6)+SUM($B$9:K9))),"")</f>
        <v>0.08973028669724781</v>
      </c>
      <c r="L12" s="82">
        <f>IF(L13="Yes",IF(SUM($B$10:L10)/(SUM($B$6:L6)+SUM($B$9:L9))&lt;0,999.99,SUM($B$10:L10)/(SUM($B$6:L6)+SUM($B$9:L9))),"")</f>
        <v>0.09572767563158521</v>
      </c>
      <c r="M12" s="82">
        <f>IF(M13="Yes",IF(SUM($B$10:M10)/(SUM($B$6:M6)+SUM($B$9:M9))&lt;0,999.99,SUM($B$10:M10)/(SUM($B$6:M6)+SUM($B$9:M9))),"")</f>
        <v>0.1022134660468157</v>
      </c>
      <c r="N12" s="82">
        <f>IF(N13="Yes",IF(SUM($B$10:N10)/(SUM($B$6:N6)+SUM($B$9:N9))&lt;0,999.99,SUM($B$10:N10)/(SUM($B$6:N6)+SUM($B$9:N9))),"")</f>
        <v>0.1081833199774025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141572.3083876262</v>
      </c>
      <c r="E18" s="36">
        <f>Q18</f>
        <v>141572.3083876262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141572.3083876262</v>
      </c>
      <c r="K18" s="36">
        <f>W18</f>
        <v>141572.3083876262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141572.3083876262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141572.3083876262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141572.3083876262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141572.3083876262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566289.2335505048</v>
      </c>
      <c r="AA18" s="36">
        <f>SUM(B18:M18)</f>
        <v>566289.2335505048</v>
      </c>
      <c r="AB18" s="36">
        <f>SUM(B18:Y18)</f>
        <v>1132578.46710101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80000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66000</v>
      </c>
      <c r="C24" s="36">
        <f>IFERROR(Calculations!$P14/12,"")</f>
        <v>66000</v>
      </c>
      <c r="D24" s="36">
        <f>IFERROR(Calculations!$P14/12,"")</f>
        <v>66000</v>
      </c>
      <c r="E24" s="36">
        <f>IFERROR(Calculations!$P14/12,"")</f>
        <v>66000</v>
      </c>
      <c r="F24" s="36">
        <f>IFERROR(Calculations!$P14/12,"")</f>
        <v>66000</v>
      </c>
      <c r="G24" s="36">
        <f>IFERROR(Calculations!$P14/12,"")</f>
        <v>66000</v>
      </c>
      <c r="H24" s="36">
        <f>IFERROR(Calculations!$P14/12,"")</f>
        <v>66000</v>
      </c>
      <c r="I24" s="36">
        <f>IFERROR(Calculations!$P14/12,"")</f>
        <v>66000</v>
      </c>
      <c r="J24" s="36">
        <f>IFERROR(Calculations!$P14/12,"")</f>
        <v>66000</v>
      </c>
      <c r="K24" s="36">
        <f>IFERROR(Calculations!$P14/12,"")</f>
        <v>66000</v>
      </c>
      <c r="L24" s="36">
        <f>IFERROR(Calculations!$P14/12,"")</f>
        <v>66000</v>
      </c>
      <c r="M24" s="36">
        <f>IFERROR(Calculations!$P14/12,"")</f>
        <v>66000</v>
      </c>
      <c r="N24" s="36">
        <f>IFERROR(Calculations!$P14/12,"")</f>
        <v>66000</v>
      </c>
      <c r="O24" s="36">
        <f>IFERROR(Calculations!$P14/12,"")</f>
        <v>66000</v>
      </c>
      <c r="P24" s="36">
        <f>IFERROR(Calculations!$P14/12,"")</f>
        <v>66000</v>
      </c>
      <c r="Q24" s="36">
        <f>IFERROR(Calculations!$P14/12,"")</f>
        <v>66000</v>
      </c>
      <c r="R24" s="36">
        <f>IFERROR(Calculations!$P14/12,"")</f>
        <v>66000</v>
      </c>
      <c r="S24" s="36">
        <f>IFERROR(Calculations!$P14/12,"")</f>
        <v>66000</v>
      </c>
      <c r="T24" s="36">
        <f>IFERROR(Calculations!$P14/12,"")</f>
        <v>66000</v>
      </c>
      <c r="U24" s="36">
        <f>IFERROR(Calculations!$P14/12,"")</f>
        <v>66000</v>
      </c>
      <c r="V24" s="36">
        <f>IFERROR(Calculations!$P14/12,"")</f>
        <v>66000</v>
      </c>
      <c r="W24" s="36">
        <f>IFERROR(Calculations!$P14/12,"")</f>
        <v>66000</v>
      </c>
      <c r="X24" s="36">
        <f>IFERROR(Calculations!$P14/12,"")</f>
        <v>66000</v>
      </c>
      <c r="Y24" s="36">
        <f>IFERROR(Calculations!$P14/12,"")</f>
        <v>66000</v>
      </c>
      <c r="Z24" s="36">
        <f>SUMIF($B$13:$Y$13,"Yes",B24:Y24)</f>
        <v>858000</v>
      </c>
      <c r="AA24" s="36">
        <f>SUM(B24:M24)</f>
        <v>792000</v>
      </c>
      <c r="AB24" s="46">
        <f>SUM(B24:Y24)</f>
        <v>1584000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116000</v>
      </c>
      <c r="C30" s="19">
        <f>SUM(C18:C29)</f>
        <v>116000</v>
      </c>
      <c r="D30" s="19">
        <f>SUM(D18:D29)</f>
        <v>257572.3083876262</v>
      </c>
      <c r="E30" s="19">
        <f>SUM(E18:E29)</f>
        <v>257572.3083876262</v>
      </c>
      <c r="F30" s="19">
        <f>SUM(F18:F29)</f>
        <v>116000</v>
      </c>
      <c r="G30" s="19">
        <f>SUM(G18:G29)</f>
        <v>116000</v>
      </c>
      <c r="H30" s="19">
        <f>SUM(H18:H29)</f>
        <v>116000</v>
      </c>
      <c r="I30" s="19">
        <f>SUM(I18:I29)</f>
        <v>116000</v>
      </c>
      <c r="J30" s="19">
        <f>SUM(J18:J29)</f>
        <v>257572.3083876262</v>
      </c>
      <c r="K30" s="19">
        <f>SUM(K18:K29)</f>
        <v>257572.3083876262</v>
      </c>
      <c r="L30" s="19">
        <f>SUM(L18:L29)</f>
        <v>116000</v>
      </c>
      <c r="M30" s="19">
        <f>SUM(M18:M29)</f>
        <v>116000</v>
      </c>
      <c r="N30" s="19">
        <f>SUM(N18:N29)</f>
        <v>116000</v>
      </c>
      <c r="O30" s="19">
        <f>SUM(O18:O29)</f>
        <v>116000</v>
      </c>
      <c r="P30" s="19">
        <f>SUM(P18:P29)</f>
        <v>257572.3083876262</v>
      </c>
      <c r="Q30" s="19">
        <f>SUM(Q18:Q29)</f>
        <v>257572.3083876262</v>
      </c>
      <c r="R30" s="19">
        <f>SUM(R18:R29)</f>
        <v>116000</v>
      </c>
      <c r="S30" s="19">
        <f>SUM(S18:S29)</f>
        <v>116000</v>
      </c>
      <c r="T30" s="19">
        <f>SUM(T18:T29)</f>
        <v>116000</v>
      </c>
      <c r="U30" s="19">
        <f>SUM(U18:U29)</f>
        <v>116000</v>
      </c>
      <c r="V30" s="19">
        <f>SUM(V18:V29)</f>
        <v>257572.3083876262</v>
      </c>
      <c r="W30" s="19">
        <f>SUM(W18:W29)</f>
        <v>257572.3083876262</v>
      </c>
      <c r="X30" s="19">
        <f>SUM(X18:X29)</f>
        <v>116000</v>
      </c>
      <c r="Y30" s="19">
        <f>SUM(Y18:Y29)</f>
        <v>116000</v>
      </c>
      <c r="Z30" s="19">
        <f>SUMIF($B$13:$Y$13,"Yes",B30:Y30)</f>
        <v>2074289.233550505</v>
      </c>
      <c r="AA30" s="19">
        <f>SUM(B30:M30)</f>
        <v>1958289.233550505</v>
      </c>
      <c r="AB30" s="19">
        <f>SUM(B30:Y30)</f>
        <v>3916578.467101009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1500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1500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1500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1500</v>
      </c>
      <c r="Z42" s="36">
        <f>SUMIF($B$13:$Y$13,"Yes",B42:Y42)</f>
        <v>3000</v>
      </c>
      <c r="AA42" s="36">
        <f>SUM(B42:M42)</f>
        <v>3000</v>
      </c>
      <c r="AB42" s="36">
        <f>SUM(B42:Y42)</f>
        <v>6000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1500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1500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1500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1500</v>
      </c>
      <c r="Z43" s="36">
        <f>SUMIF($B$13:$Y$13,"Yes",B43:Y43)</f>
        <v>3000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9000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9000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9000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9000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18000</v>
      </c>
      <c r="AA48" s="46">
        <f>SUM(B48:M48)</f>
        <v>18000</v>
      </c>
      <c r="AB48" s="46">
        <f>SUM(B48:Y48)</f>
        <v>36000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9000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9000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9000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9000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10927</v>
      </c>
      <c r="C66" s="36">
        <f>O66</f>
        <v>10927</v>
      </c>
      <c r="D66" s="36">
        <f>P66</f>
        <v>10927</v>
      </c>
      <c r="E66" s="36">
        <f>Q66</f>
        <v>2352</v>
      </c>
      <c r="F66" s="36">
        <f>R66</f>
        <v>2352</v>
      </c>
      <c r="G66" s="36">
        <f>S66</f>
        <v>10927</v>
      </c>
      <c r="H66" s="36">
        <f>T66</f>
        <v>10927</v>
      </c>
      <c r="I66" s="36">
        <f>U66</f>
        <v>10927</v>
      </c>
      <c r="J66" s="36">
        <f>V66</f>
        <v>10927</v>
      </c>
      <c r="K66" s="36">
        <f>W66</f>
        <v>2352</v>
      </c>
      <c r="L66" s="36">
        <f>X66</f>
        <v>2352</v>
      </c>
      <c r="M66" s="36">
        <f>Y66</f>
        <v>10927</v>
      </c>
      <c r="N66" s="46">
        <f>SUM(N67:N71)</f>
        <v>10927</v>
      </c>
      <c r="O66" s="46">
        <f>SUM(O67:O71)</f>
        <v>10927</v>
      </c>
      <c r="P66" s="46">
        <f>SUM(P67:P71)</f>
        <v>10927</v>
      </c>
      <c r="Q66" s="46">
        <f>SUM(Q67:Q71)</f>
        <v>2352</v>
      </c>
      <c r="R66" s="46">
        <f>SUM(R67:R71)</f>
        <v>2352</v>
      </c>
      <c r="S66" s="46">
        <f>SUM(S67:S71)</f>
        <v>10927</v>
      </c>
      <c r="T66" s="46">
        <f>SUM(T67:T71)</f>
        <v>10927</v>
      </c>
      <c r="U66" s="46">
        <f>SUM(U67:U71)</f>
        <v>10927</v>
      </c>
      <c r="V66" s="46">
        <f>SUM(V67:V71)</f>
        <v>10927</v>
      </c>
      <c r="W66" s="46">
        <f>SUM(W67:W71)</f>
        <v>2352</v>
      </c>
      <c r="X66" s="46">
        <f>SUM(X67:X71)</f>
        <v>2352</v>
      </c>
      <c r="Y66" s="46">
        <f>SUM(Y67:Y71)</f>
        <v>10927</v>
      </c>
      <c r="Z66" s="46">
        <f>SUMIF($B$13:$Y$13,"Yes",B66:Y66)</f>
        <v>107751</v>
      </c>
      <c r="AA66" s="46">
        <f>SUM(B66:M66)</f>
        <v>96824</v>
      </c>
      <c r="AB66" s="46">
        <f>SUM(B66:Y66)</f>
        <v>193648</v>
      </c>
    </row>
    <row r="67" spans="1:30" hidden="true" outlineLevel="1">
      <c r="A67" s="181" t="str">
        <f>Calculations!$A$4</f>
        <v>Tomatoes</v>
      </c>
      <c r="B67" s="36">
        <f>N67</f>
        <v>8575</v>
      </c>
      <c r="C67" s="36">
        <f>O67</f>
        <v>8575</v>
      </c>
      <c r="D67" s="36">
        <f>P67</f>
        <v>8575</v>
      </c>
      <c r="E67" s="36">
        <f>Q67</f>
        <v>0</v>
      </c>
      <c r="F67" s="36">
        <f>R67</f>
        <v>0</v>
      </c>
      <c r="G67" s="36">
        <f>S67</f>
        <v>8575</v>
      </c>
      <c r="H67" s="36">
        <f>T67</f>
        <v>8575</v>
      </c>
      <c r="I67" s="36">
        <f>U67</f>
        <v>8575</v>
      </c>
      <c r="J67" s="36">
        <f>V67</f>
        <v>8575</v>
      </c>
      <c r="K67" s="36">
        <f>W67</f>
        <v>0</v>
      </c>
      <c r="L67" s="36">
        <f>X67</f>
        <v>0</v>
      </c>
      <c r="M67" s="36">
        <f>Y67</f>
        <v>8575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8575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8575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8575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8575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8575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8575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8575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8575</v>
      </c>
      <c r="Z67" s="46">
        <f>SUMIF($B$13:$Y$13,"Yes",B67:Y67)</f>
        <v>77175</v>
      </c>
      <c r="AA67" s="46">
        <f>SUM(B67:M67)</f>
        <v>68600</v>
      </c>
      <c r="AB67" s="46">
        <f>SUM(B67:Y67)</f>
        <v>137200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Potatoes</v>
      </c>
      <c r="B69" s="36">
        <f>N69</f>
        <v>2352</v>
      </c>
      <c r="C69" s="36">
        <f>O69</f>
        <v>2352</v>
      </c>
      <c r="D69" s="36">
        <f>P69</f>
        <v>2352</v>
      </c>
      <c r="E69" s="36">
        <f>Q69</f>
        <v>2352</v>
      </c>
      <c r="F69" s="36">
        <f>R69</f>
        <v>2352</v>
      </c>
      <c r="G69" s="36">
        <f>S69</f>
        <v>2352</v>
      </c>
      <c r="H69" s="36">
        <f>T69</f>
        <v>2352</v>
      </c>
      <c r="I69" s="36">
        <f>U69</f>
        <v>2352</v>
      </c>
      <c r="J69" s="36">
        <f>V69</f>
        <v>2352</v>
      </c>
      <c r="K69" s="36">
        <f>W69</f>
        <v>2352</v>
      </c>
      <c r="L69" s="36">
        <f>X69</f>
        <v>2352</v>
      </c>
      <c r="M69" s="36">
        <f>Y69</f>
        <v>2352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2352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2352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2352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2352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2352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2352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2352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2352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2352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2352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2352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2352</v>
      </c>
      <c r="Z69" s="46">
        <f>SUMIF($B$13:$Y$13,"Yes",B69:Y69)</f>
        <v>30576</v>
      </c>
      <c r="AA69" s="46">
        <f>SUM(B69:M69)</f>
        <v>28224</v>
      </c>
      <c r="AB69" s="46">
        <f>SUM(B69:Y69)</f>
        <v>56448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3333.333333333333</v>
      </c>
      <c r="C76" s="46">
        <f>SUM(Calculations!$S$14:$S$16)/12</f>
        <v>3333.333333333333</v>
      </c>
      <c r="D76" s="46">
        <f>SUM(Calculations!$S$14:$S$16)/12</f>
        <v>3333.333333333333</v>
      </c>
      <c r="E76" s="46">
        <f>SUM(Calculations!$S$14:$S$16)/12</f>
        <v>3333.333333333333</v>
      </c>
      <c r="F76" s="46">
        <f>SUM(Calculations!$S$14:$S$16)/12</f>
        <v>3333.333333333333</v>
      </c>
      <c r="G76" s="46">
        <f>SUM(Calculations!$S$14:$S$16)/12</f>
        <v>3333.333333333333</v>
      </c>
      <c r="H76" s="46">
        <f>SUM(Calculations!$S$14:$S$16)/12</f>
        <v>3333.333333333333</v>
      </c>
      <c r="I76" s="46">
        <f>SUM(Calculations!$S$14:$S$16)/12</f>
        <v>3333.333333333333</v>
      </c>
      <c r="J76" s="46">
        <f>SUM(Calculations!$S$14:$S$16)/12</f>
        <v>3333.333333333333</v>
      </c>
      <c r="K76" s="46">
        <f>SUM(Calculations!$S$14:$S$16)/12</f>
        <v>3333.333333333333</v>
      </c>
      <c r="L76" s="46">
        <f>SUM(Calculations!$S$14:$S$16)/12</f>
        <v>3333.333333333333</v>
      </c>
      <c r="M76" s="46">
        <f>SUM(Calculations!$S$14:$S$16)/12</f>
        <v>3333.333333333333</v>
      </c>
      <c r="N76" s="46">
        <f>SUM(Calculations!$S$14:$S$16)/12</f>
        <v>3333.333333333333</v>
      </c>
      <c r="O76" s="46">
        <f>SUM(Calculations!$S$14:$S$16)/12</f>
        <v>3333.333333333333</v>
      </c>
      <c r="P76" s="46">
        <f>SUM(Calculations!$S$14:$S$16)/12</f>
        <v>3333.333333333333</v>
      </c>
      <c r="Q76" s="46">
        <f>SUM(Calculations!$S$14:$S$16)/12</f>
        <v>3333.333333333333</v>
      </c>
      <c r="R76" s="46">
        <f>SUM(Calculations!$S$14:$S$16)/12</f>
        <v>3333.333333333333</v>
      </c>
      <c r="S76" s="46">
        <f>SUM(Calculations!$S$14:$S$16)/12</f>
        <v>3333.333333333333</v>
      </c>
      <c r="T76" s="46">
        <f>SUM(Calculations!$S$14:$S$16)/12</f>
        <v>3333.333333333333</v>
      </c>
      <c r="U76" s="46">
        <f>SUM(Calculations!$S$14:$S$16)/12</f>
        <v>3333.333333333333</v>
      </c>
      <c r="V76" s="46">
        <f>SUM(Calculations!$S$14:$S$16)/12</f>
        <v>3333.333333333333</v>
      </c>
      <c r="W76" s="46">
        <f>SUM(Calculations!$S$14:$S$16)/12</f>
        <v>3333.333333333333</v>
      </c>
      <c r="X76" s="46">
        <f>SUM(Calculations!$S$14:$S$16)/12</f>
        <v>3333.333333333333</v>
      </c>
      <c r="Y76" s="46">
        <f>SUM(Calculations!$S$14:$S$16)/12</f>
        <v>3333.333333333333</v>
      </c>
      <c r="Z76" s="46">
        <f>SUMIF($B$13:$Y$13,"Yes",B76:Y76)</f>
        <v>43333.33333333334</v>
      </c>
      <c r="AA76" s="46">
        <f>SUM(B76:M76)</f>
        <v>40000</v>
      </c>
      <c r="AB76" s="46">
        <f>SUM(B76:Y76)</f>
        <v>80000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54232.1744516835</v>
      </c>
      <c r="C81" s="46">
        <f>(SUM($AA$18:$AA$29)-SUM($AA$36,$AA$42,$AA$48,$AA$54,$AA$60,$AA$66,$AA$72:$AA$79))*Parameters!$B$37/12</f>
        <v>54232.1744516835</v>
      </c>
      <c r="D81" s="46">
        <f>(SUM($AA$18:$AA$29)-SUM($AA$36,$AA$42,$AA$48,$AA$54,$AA$60,$AA$66,$AA$72:$AA$79))*Parameters!$B$37/12</f>
        <v>54232.1744516835</v>
      </c>
      <c r="E81" s="46">
        <f>(SUM($AA$18:$AA$29)-SUM($AA$36,$AA$42,$AA$48,$AA$54,$AA$60,$AA$66,$AA$72:$AA$79))*Parameters!$B$37/12</f>
        <v>54232.1744516835</v>
      </c>
      <c r="F81" s="46">
        <f>(SUM($AA$18:$AA$29)-SUM($AA$36,$AA$42,$AA$48,$AA$54,$AA$60,$AA$66,$AA$72:$AA$79))*Parameters!$B$37/12</f>
        <v>54232.1744516835</v>
      </c>
      <c r="G81" s="46">
        <f>(SUM($AA$18:$AA$29)-SUM($AA$36,$AA$42,$AA$48,$AA$54,$AA$60,$AA$66,$AA$72:$AA$79))*Parameters!$B$37/12</f>
        <v>54232.1744516835</v>
      </c>
      <c r="H81" s="46">
        <f>(SUM($AA$18:$AA$29)-SUM($AA$36,$AA$42,$AA$48,$AA$54,$AA$60,$AA$66,$AA$72:$AA$79))*Parameters!$B$37/12</f>
        <v>54232.1744516835</v>
      </c>
      <c r="I81" s="46">
        <f>(SUM($AA$18:$AA$29)-SUM($AA$36,$AA$42,$AA$48,$AA$54,$AA$60,$AA$66,$AA$72:$AA$79))*Parameters!$B$37/12</f>
        <v>54232.1744516835</v>
      </c>
      <c r="J81" s="46">
        <f>(SUM($AA$18:$AA$29)-SUM($AA$36,$AA$42,$AA$48,$AA$54,$AA$60,$AA$66,$AA$72:$AA$79))*Parameters!$B$37/12</f>
        <v>54232.1744516835</v>
      </c>
      <c r="K81" s="46">
        <f>(SUM($AA$18:$AA$29)-SUM($AA$36,$AA$42,$AA$48,$AA$54,$AA$60,$AA$66,$AA$72:$AA$79))*Parameters!$B$37/12</f>
        <v>54232.1744516835</v>
      </c>
      <c r="L81" s="46">
        <f>(SUM($AA$18:$AA$29)-SUM($AA$36,$AA$42,$AA$48,$AA$54,$AA$60,$AA$66,$AA$72:$AA$79))*Parameters!$B$37/12</f>
        <v>54232.1744516835</v>
      </c>
      <c r="M81" s="46">
        <f>(SUM($AA$18:$AA$29)-SUM($AA$36,$AA$42,$AA$48,$AA$54,$AA$60,$AA$66,$AA$72:$AA$79))*Parameters!$B$37/12</f>
        <v>54232.1744516835</v>
      </c>
      <c r="N81" s="46">
        <f>(SUM($AA$18:$AA$29)-SUM($AA$36,$AA$42,$AA$48,$AA$54,$AA$60,$AA$66,$AA$72:$AA$79))*Parameters!$B$37/12</f>
        <v>54232.1744516835</v>
      </c>
      <c r="O81" s="46">
        <f>(SUM($AA$18:$AA$29)-SUM($AA$36,$AA$42,$AA$48,$AA$54,$AA$60,$AA$66,$AA$72:$AA$79))*Parameters!$B$37/12</f>
        <v>54232.1744516835</v>
      </c>
      <c r="P81" s="46">
        <f>(SUM($AA$18:$AA$29)-SUM($AA$36,$AA$42,$AA$48,$AA$54,$AA$60,$AA$66,$AA$72:$AA$79))*Parameters!$B$37/12</f>
        <v>54232.1744516835</v>
      </c>
      <c r="Q81" s="46">
        <f>(SUM($AA$18:$AA$29)-SUM($AA$36,$AA$42,$AA$48,$AA$54,$AA$60,$AA$66,$AA$72:$AA$79))*Parameters!$B$37/12</f>
        <v>54232.1744516835</v>
      </c>
      <c r="R81" s="46">
        <f>(SUM($AA$18:$AA$29)-SUM($AA$36,$AA$42,$AA$48,$AA$54,$AA$60,$AA$66,$AA$72:$AA$79))*Parameters!$B$37/12</f>
        <v>54232.1744516835</v>
      </c>
      <c r="S81" s="46">
        <f>(SUM($AA$18:$AA$29)-SUM($AA$36,$AA$42,$AA$48,$AA$54,$AA$60,$AA$66,$AA$72:$AA$79))*Parameters!$B$37/12</f>
        <v>54232.1744516835</v>
      </c>
      <c r="T81" s="46">
        <f>(SUM($AA$18:$AA$29)-SUM($AA$36,$AA$42,$AA$48,$AA$54,$AA$60,$AA$66,$AA$72:$AA$79))*Parameters!$B$37/12</f>
        <v>54232.1744516835</v>
      </c>
      <c r="U81" s="46">
        <f>(SUM($AA$18:$AA$29)-SUM($AA$36,$AA$42,$AA$48,$AA$54,$AA$60,$AA$66,$AA$72:$AA$79))*Parameters!$B$37/12</f>
        <v>54232.1744516835</v>
      </c>
      <c r="V81" s="46">
        <f>(SUM($AA$18:$AA$29)-SUM($AA$36,$AA$42,$AA$48,$AA$54,$AA$60,$AA$66,$AA$72:$AA$79))*Parameters!$B$37/12</f>
        <v>54232.1744516835</v>
      </c>
      <c r="W81" s="46">
        <f>(SUM($AA$18:$AA$29)-SUM($AA$36,$AA$42,$AA$48,$AA$54,$AA$60,$AA$66,$AA$72:$AA$79))*Parameters!$B$37/12</f>
        <v>54232.1744516835</v>
      </c>
      <c r="X81" s="46">
        <f>(SUM($AA$18:$AA$29)-SUM($AA$36,$AA$42,$AA$48,$AA$54,$AA$60,$AA$66,$AA$72:$AA$79))*Parameters!$B$37/12</f>
        <v>54232.1744516835</v>
      </c>
      <c r="Y81" s="46">
        <f>(SUM($AA$18:$AA$29)-SUM($AA$36,$AA$42,$AA$48,$AA$54,$AA$60,$AA$66,$AA$72:$AA$79))*Parameters!$B$37/12</f>
        <v>54232.1744516835</v>
      </c>
      <c r="Z81" s="46">
        <f>SUMIF($B$13:$Y$13,"Yes",B81:Y81)</f>
        <v>705018.2678718854</v>
      </c>
      <c r="AA81" s="46">
        <f>SUM(B81:M81)</f>
        <v>650786.0934202019</v>
      </c>
      <c r="AB81" s="46">
        <f>SUM(B81:Y81)</f>
        <v>1301572.186840404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82950.84111835016</v>
      </c>
      <c r="C88" s="19">
        <f>SUM(C72:C82,C66,C60,C54,C48,C42,C36)</f>
        <v>91950.84111835016</v>
      </c>
      <c r="D88" s="19">
        <f>SUM(D72:D82,D66,D60,D54,D48,D42,D36)</f>
        <v>82950.84111835016</v>
      </c>
      <c r="E88" s="19">
        <f>SUM(E72:E82,E66,E60,E54,E48,E42,E36)</f>
        <v>74375.84111835016</v>
      </c>
      <c r="F88" s="19">
        <f>SUM(F72:F82,F66,F60,F54,F48,F42,F36)</f>
        <v>74375.84111835016</v>
      </c>
      <c r="G88" s="19">
        <f>SUM(G72:G82,G66,G60,G54,G48,G42,G36)</f>
        <v>84450.84111835016</v>
      </c>
      <c r="H88" s="19">
        <f>SUM(H72:H82,H66,H60,H54,H48,H42,H36)</f>
        <v>82950.84111835016</v>
      </c>
      <c r="I88" s="19">
        <f>SUM(I72:I82,I66,I60,I54,I48,I42,I36)</f>
        <v>91950.84111835016</v>
      </c>
      <c r="J88" s="19">
        <f>SUM(J72:J82,J66,J60,J54,J48,J42,J36)</f>
        <v>82950.84111835016</v>
      </c>
      <c r="K88" s="19">
        <f>SUM(K72:K82,K66,K60,K54,K48,K42,K36)</f>
        <v>74375.84111835016</v>
      </c>
      <c r="L88" s="19">
        <f>SUM(L72:L82,L66,L60,L54,L48,L42,L36)</f>
        <v>74375.84111835016</v>
      </c>
      <c r="M88" s="19">
        <f>SUM(M72:M82,M66,M60,M54,M48,M42,M36)</f>
        <v>84450.84111835016</v>
      </c>
      <c r="N88" s="19">
        <f>SUM(N72:N82,N66,N60,N54,N48,N42,N36)</f>
        <v>82950.84111835016</v>
      </c>
      <c r="O88" s="19">
        <f>SUM(O72:O82,O66,O60,O54,O48,O42,O36)</f>
        <v>91950.84111835016</v>
      </c>
      <c r="P88" s="19">
        <f>SUM(P72:P82,P66,P60,P54,P48,P42,P36)</f>
        <v>82950.84111835016</v>
      </c>
      <c r="Q88" s="19">
        <f>SUM(Q72:Q82,Q66,Q60,Q54,Q48,Q42,Q36)</f>
        <v>74375.84111835016</v>
      </c>
      <c r="R88" s="19">
        <f>SUM(R72:R82,R66,R60,R54,R48,R42,R36)</f>
        <v>74375.84111835016</v>
      </c>
      <c r="S88" s="19">
        <f>SUM(S72:S82,S66,S60,S54,S48,S42,S36)</f>
        <v>84450.84111835016</v>
      </c>
      <c r="T88" s="19">
        <f>SUM(T72:T82,T66,T60,T54,T48,T42,T36)</f>
        <v>82950.84111835016</v>
      </c>
      <c r="U88" s="19">
        <f>SUM(U72:U82,U66,U60,U54,U48,U42,U36)</f>
        <v>91950.84111835016</v>
      </c>
      <c r="V88" s="19">
        <f>SUM(V72:V82,V66,V60,V54,V48,V42,V36)</f>
        <v>82950.84111835016</v>
      </c>
      <c r="W88" s="19">
        <f>SUM(W72:W82,W66,W60,W54,W48,W42,W36)</f>
        <v>74375.84111835016</v>
      </c>
      <c r="X88" s="19">
        <f>SUM(X72:X82,X66,X60,X54,X48,X42,X36)</f>
        <v>74375.84111835016</v>
      </c>
      <c r="Y88" s="19">
        <f>SUM(Y72:Y82,Y66,Y60,Y54,Y48,Y42,Y36)</f>
        <v>84450.84111835016</v>
      </c>
      <c r="Z88" s="19">
        <f>SUMIF($B$13:$Y$13,"Yes",B88:Y88)</f>
        <v>1065060.934538552</v>
      </c>
      <c r="AA88" s="19">
        <f>SUM(B88:M88)</f>
        <v>982110.0934202019</v>
      </c>
      <c r="AB88" s="19">
        <f>SUM(B88:Y88)</f>
        <v>1964220.186840404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</v>
      </c>
    </row>
    <row r="101" spans="1:30" customHeight="1" ht="15.75">
      <c r="A101" s="1" t="s">
        <v>67</v>
      </c>
      <c r="B101" s="19">
        <f>SUM(B94:B100)</f>
        <v>3475000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91</v>
      </c>
      <c r="J8" s="148" t="s">
        <v>93</v>
      </c>
      <c r="K8" s="138"/>
      <c r="L8" s="16"/>
      <c r="M8" s="165">
        <v>10</v>
      </c>
      <c r="N8" s="154">
        <v>1</v>
      </c>
    </row>
    <row r="9" spans="1:48">
      <c r="A9" s="143" t="s">
        <v>96</v>
      </c>
      <c r="B9" s="16"/>
      <c r="C9" s="143">
        <v>1</v>
      </c>
      <c r="D9" s="16"/>
      <c r="E9" s="147" t="s">
        <v>97</v>
      </c>
      <c r="F9" s="149" t="s">
        <v>91</v>
      </c>
      <c r="G9" s="147"/>
      <c r="H9" s="147" t="s">
        <v>91</v>
      </c>
      <c r="I9" s="147" t="s">
        <v>91</v>
      </c>
      <c r="J9" s="148" t="s">
        <v>98</v>
      </c>
      <c r="K9" s="138"/>
      <c r="L9" s="16"/>
      <c r="M9" s="165">
        <v>30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20</v>
      </c>
      <c r="D19" s="145"/>
      <c r="E19" s="20"/>
      <c r="F19" s="145" t="s">
        <v>92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 t="s">
        <v>114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30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50000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500000</v>
      </c>
    </row>
    <row r="46" spans="1:48" customHeight="1" ht="30">
      <c r="A46" s="57" t="s">
        <v>135</v>
      </c>
      <c r="B46" s="161">
        <v>150000</v>
      </c>
    </row>
    <row r="47" spans="1:48" customHeight="1" ht="30">
      <c r="A47" s="57" t="s">
        <v>136</v>
      </c>
      <c r="B47" s="161">
        <v>250000</v>
      </c>
    </row>
    <row r="48" spans="1:48" customHeight="1" ht="30">
      <c r="A48" s="57" t="s">
        <v>137</v>
      </c>
      <c r="B48" s="161">
        <v>25000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10000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160000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160000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151</v>
      </c>
    </row>
    <row r="58" spans="1:48">
      <c r="A58" s="157">
        <v>108000</v>
      </c>
      <c r="B58" s="157">
        <v>0</v>
      </c>
      <c r="C58" s="164" t="s">
        <v>152</v>
      </c>
      <c r="D58" s="165" t="s">
        <v>148</v>
      </c>
      <c r="E58" s="165" t="s">
        <v>92</v>
      </c>
      <c r="F58" s="165" t="s">
        <v>151</v>
      </c>
    </row>
    <row r="59" spans="1:48">
      <c r="A59" s="157">
        <v>80000</v>
      </c>
      <c r="B59" s="157">
        <v>0</v>
      </c>
      <c r="C59" s="164" t="s">
        <v>153</v>
      </c>
      <c r="D59" s="165" t="s">
        <v>154</v>
      </c>
      <c r="E59" s="165" t="s">
        <v>92</v>
      </c>
      <c r="F59" s="165" t="s">
        <v>151</v>
      </c>
    </row>
    <row r="60" spans="1:48">
      <c r="A60" s="158">
        <v>60000</v>
      </c>
      <c r="B60" s="158">
        <v>0</v>
      </c>
      <c r="C60" s="166" t="s">
        <v>155</v>
      </c>
      <c r="D60" s="167" t="s">
        <v>156</v>
      </c>
      <c r="E60" s="167" t="s">
        <v>92</v>
      </c>
      <c r="F60" s="167" t="s">
        <v>151</v>
      </c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158</v>
      </c>
      <c r="C65" s="10" t="s">
        <v>159</v>
      </c>
    </row>
    <row r="66" spans="1:48">
      <c r="A66" s="142" t="s">
        <v>160</v>
      </c>
      <c r="B66" s="159">
        <v>135210</v>
      </c>
      <c r="C66" s="163">
        <v>110200</v>
      </c>
      <c r="D66" s="49">
        <f>INDEX(Parameters!$D$79:$D$90,MATCH(Inputs!A66,Parameters!$C$79:$C$90,0))</f>
        <v>6</v>
      </c>
    </row>
    <row r="67" spans="1:48">
      <c r="A67" s="143" t="s">
        <v>161</v>
      </c>
      <c r="B67" s="157">
        <v>129541</v>
      </c>
      <c r="C67" s="165">
        <v>100140</v>
      </c>
      <c r="D67" s="49">
        <f>INDEX(Parameters!$D$79:$D$90,MATCH(Inputs!A67,Parameters!$C$79:$C$90,0))</f>
        <v>5</v>
      </c>
    </row>
    <row r="68" spans="1:48">
      <c r="A68" s="143" t="s">
        <v>162</v>
      </c>
      <c r="B68" s="157">
        <v>148514</v>
      </c>
      <c r="C68" s="165">
        <v>115040</v>
      </c>
      <c r="D68" s="49">
        <f>INDEX(Parameters!$D$79:$D$90,MATCH(Inputs!A68,Parameters!$C$79:$C$90,0))</f>
        <v>4</v>
      </c>
    </row>
    <row r="69" spans="1:48">
      <c r="A69" s="143" t="s">
        <v>163</v>
      </c>
      <c r="B69" s="157">
        <v>102154</v>
      </c>
      <c r="C69" s="165">
        <v>81541</v>
      </c>
      <c r="D69" s="49">
        <f>INDEX(Parameters!$D$79:$D$90,MATCH(Inputs!A69,Parameters!$C$79:$C$90,0))</f>
        <v>3</v>
      </c>
    </row>
    <row r="70" spans="1:48">
      <c r="A70" s="143" t="s">
        <v>164</v>
      </c>
      <c r="B70" s="157">
        <v>112504</v>
      </c>
      <c r="C70" s="165">
        <v>90514</v>
      </c>
      <c r="D70" s="49">
        <f>INDEX(Parameters!$D$79:$D$90,MATCH(Inputs!A70,Parameters!$C$79:$C$90,0))</f>
        <v>2</v>
      </c>
    </row>
    <row r="71" spans="1:48">
      <c r="A71" s="144" t="s">
        <v>165</v>
      </c>
      <c r="B71" s="158">
        <v>88040</v>
      </c>
      <c r="C71" s="167">
        <v>61570</v>
      </c>
      <c r="D71" s="49">
        <f>INDEX(Parameters!$D$79:$D$90,MATCH(Inputs!A71,Parameters!$C$79:$C$90,0))</f>
        <v>1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13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172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173</v>
      </c>
      <c r="B80" s="168" t="s">
        <v>174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175</v>
      </c>
      <c r="B81" s="161">
        <v>100000</v>
      </c>
    </row>
    <row r="82" spans="1:48">
      <c r="A82" t="s">
        <v>176</v>
      </c>
      <c r="B82" s="161">
        <v>20</v>
      </c>
    </row>
    <row r="83" spans="1:48">
      <c r="A83" t="s">
        <v>177</v>
      </c>
      <c r="B83" s="169" t="s">
        <v>178</v>
      </c>
    </row>
    <row r="84" spans="1:48">
      <c r="A84" t="s">
        <v>179</v>
      </c>
      <c r="B84" s="169">
        <v>1</v>
      </c>
    </row>
    <row r="85" spans="1:48">
      <c r="A85" t="s">
        <v>180</v>
      </c>
      <c r="B85" s="169">
        <v>12</v>
      </c>
    </row>
    <row r="86" spans="1:48">
      <c r="A86" t="s">
        <v>181</v>
      </c>
      <c r="B86" s="161"/>
    </row>
    <row r="87" spans="1:48">
      <c r="A87" t="s">
        <v>182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183</v>
      </c>
      <c r="C3" s="15" t="s">
        <v>184</v>
      </c>
      <c r="D3" s="15" t="s">
        <v>185</v>
      </c>
      <c r="E3" s="15" t="s">
        <v>186</v>
      </c>
      <c r="F3" s="15" t="s">
        <v>187</v>
      </c>
      <c r="G3" s="15" t="s">
        <v>188</v>
      </c>
      <c r="H3" s="15" t="s">
        <v>189</v>
      </c>
      <c r="I3" s="15" t="s">
        <v>190</v>
      </c>
      <c r="J3" s="15" t="s">
        <v>191</v>
      </c>
      <c r="K3" s="15" t="s">
        <v>192</v>
      </c>
      <c r="L3" s="15" t="s">
        <v>193</v>
      </c>
      <c r="M3" s="15" t="s">
        <v>194</v>
      </c>
      <c r="N3" s="15" t="s">
        <v>195</v>
      </c>
      <c r="O3" s="15" t="s">
        <v>196</v>
      </c>
      <c r="P3" s="15" t="s">
        <v>197</v>
      </c>
      <c r="Q3" s="32" t="s">
        <v>198</v>
      </c>
      <c r="R3" s="15" t="s">
        <v>199</v>
      </c>
      <c r="S3" s="15" t="s">
        <v>200</v>
      </c>
      <c r="T3" s="15" t="s">
        <v>201</v>
      </c>
      <c r="U3" s="178" t="s">
        <v>87</v>
      </c>
      <c r="V3" s="32" t="s">
        <v>202</v>
      </c>
      <c r="W3" s="32" t="s">
        <v>203</v>
      </c>
      <c r="X3" s="32" t="s">
        <v>204</v>
      </c>
      <c r="Y3" s="32" t="s">
        <v>205</v>
      </c>
      <c r="Z3" s="32" t="s">
        <v>43</v>
      </c>
      <c r="AA3" s="32" t="s">
        <v>206</v>
      </c>
      <c r="AB3" s="32" t="s">
        <v>207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43160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43344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566289.2335505048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49000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5258.228853592276</v>
      </c>
      <c r="M6" s="30">
        <f>L6*H6</f>
        <v>5258.228853592276</v>
      </c>
      <c r="N6" s="22">
        <f>Calculations!U6</f>
        <v>0.3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82449.02842432688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0.3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24000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8400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208</v>
      </c>
      <c r="D13" s="15" t="s">
        <v>209</v>
      </c>
      <c r="E13" s="15" t="s">
        <v>210</v>
      </c>
      <c r="F13" s="15" t="s">
        <v>211</v>
      </c>
      <c r="G13" s="15" t="s">
        <v>212</v>
      </c>
      <c r="H13" s="15" t="s">
        <v>213</v>
      </c>
      <c r="I13" s="15" t="s">
        <v>214</v>
      </c>
      <c r="J13" s="15" t="s">
        <v>215</v>
      </c>
      <c r="K13" s="15" t="s">
        <v>216</v>
      </c>
      <c r="L13" s="15" t="s">
        <v>217</v>
      </c>
      <c r="M13" s="178" t="s">
        <v>218</v>
      </c>
      <c r="N13" s="178" t="s">
        <v>219</v>
      </c>
      <c r="O13" s="62" t="s">
        <v>220</v>
      </c>
      <c r="P13" s="62" t="s">
        <v>221</v>
      </c>
      <c r="Q13" s="62" t="s">
        <v>222</v>
      </c>
      <c r="R13" s="62" t="s">
        <v>223</v>
      </c>
      <c r="S13" s="62" t="s">
        <v>224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40000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225</v>
      </c>
      <c r="C22" s="74" t="s">
        <v>226</v>
      </c>
      <c r="D22" s="74" t="s">
        <v>227</v>
      </c>
      <c r="E22" s="74" t="s">
        <v>228</v>
      </c>
    </row>
    <row r="23" spans="1:52">
      <c r="A23" s="75">
        <f>Inputs!A56</f>
        <v>160000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108000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80000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60000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230</v>
      </c>
      <c r="B32" s="129" t="s">
        <v>231</v>
      </c>
      <c r="C32" s="129" t="s">
        <v>232</v>
      </c>
      <c r="D32" s="129" t="s">
        <v>233</v>
      </c>
      <c r="F32" s="132" t="s">
        <v>234</v>
      </c>
      <c r="G32" s="132" t="s">
        <v>235</v>
      </c>
      <c r="I32" s="174" t="s">
        <v>236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42972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171</v>
      </c>
      <c r="G33" s="128">
        <f>IF(Inputs!B79="","",DATE(YEAR(Inputs!B79),MONTH(Inputs!B79),DAY(Inputs!B79)))</f>
        <v>42938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173</v>
      </c>
      <c r="G34" s="128">
        <f>IF(Inputs!B80="","",DATE(YEAR(Inputs!B80),MONTH(Inputs!B80),DAY(Inputs!B80)))</f>
        <v>42972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175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176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237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238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181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182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239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240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241</v>
      </c>
      <c r="C3" s="10" t="s">
        <v>242</v>
      </c>
      <c r="D3" s="10" t="s">
        <v>243</v>
      </c>
      <c r="E3" s="10" t="s">
        <v>244</v>
      </c>
      <c r="F3" s="10" t="s">
        <v>245</v>
      </c>
      <c r="G3" s="10" t="s">
        <v>246</v>
      </c>
      <c r="H3" s="10" t="s">
        <v>247</v>
      </c>
      <c r="I3" s="10" t="s">
        <v>248</v>
      </c>
      <c r="J3" s="10" t="s">
        <v>249</v>
      </c>
      <c r="K3" s="10" t="s">
        <v>250</v>
      </c>
      <c r="L3" s="10" t="s">
        <v>251</v>
      </c>
      <c r="M3" s="10" t="s">
        <v>252</v>
      </c>
      <c r="N3" s="10" t="s">
        <v>253</v>
      </c>
      <c r="O3" s="10" t="s">
        <v>254</v>
      </c>
      <c r="P3" s="10" t="s">
        <v>255</v>
      </c>
      <c r="Q3" s="10" t="s">
        <v>256</v>
      </c>
      <c r="R3" s="10" t="s">
        <v>257</v>
      </c>
      <c r="S3" s="10" t="s">
        <v>258</v>
      </c>
      <c r="T3" s="10" t="s">
        <v>259</v>
      </c>
      <c r="U3" s="10" t="s">
        <v>199</v>
      </c>
      <c r="V3" s="10" t="s">
        <v>197</v>
      </c>
      <c r="W3" s="10" t="s">
        <v>260</v>
      </c>
      <c r="X3" s="10" t="s">
        <v>261</v>
      </c>
      <c r="Y3" s="10" t="s">
        <v>262</v>
      </c>
      <c r="Z3" s="10" t="s">
        <v>263</v>
      </c>
      <c r="AA3" s="10" t="s">
        <v>264</v>
      </c>
      <c r="AB3" s="10" t="s">
        <v>265</v>
      </c>
      <c r="AC3" s="10" t="s">
        <v>266</v>
      </c>
      <c r="AD3" s="10" t="s">
        <v>267</v>
      </c>
      <c r="AE3" s="10" t="s">
        <v>268</v>
      </c>
      <c r="AF3" s="10" t="s">
        <v>269</v>
      </c>
      <c r="AG3" s="10" t="s">
        <v>270</v>
      </c>
      <c r="AH3" s="10" t="s">
        <v>271</v>
      </c>
      <c r="AI3" s="10" t="s">
        <v>272</v>
      </c>
    </row>
    <row r="4" spans="1:36" s="93" customFormat="1">
      <c r="A4" s="93" t="s">
        <v>273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289</v>
      </c>
      <c r="C22" s="10" t="s">
        <v>290</v>
      </c>
      <c r="D22" s="10" t="s">
        <v>291</v>
      </c>
      <c r="E22" s="10" t="s">
        <v>292</v>
      </c>
      <c r="F22" s="10" t="s">
        <v>293</v>
      </c>
      <c r="G22" s="10" t="s">
        <v>294</v>
      </c>
      <c r="H22" s="10" t="s">
        <v>295</v>
      </c>
      <c r="I22" s="10" t="s">
        <v>213</v>
      </c>
      <c r="J22" s="10" t="s">
        <v>296</v>
      </c>
      <c r="K22" s="10" t="s">
        <v>297</v>
      </c>
      <c r="L22" s="10" t="s">
        <v>298</v>
      </c>
      <c r="M22" s="10" t="s">
        <v>299</v>
      </c>
      <c r="N22" s="10" t="s">
        <v>300</v>
      </c>
      <c r="O22" s="10" t="s">
        <v>301</v>
      </c>
      <c r="P22" s="10" t="s">
        <v>302</v>
      </c>
    </row>
    <row r="23" spans="1:36" s="21" customFormat="1">
      <c r="A23" s="21" t="s">
        <v>303</v>
      </c>
      <c r="B23" s="21" t="s">
        <v>304</v>
      </c>
      <c r="C23" s="72" t="s">
        <v>305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114</v>
      </c>
      <c r="B24" s="21" t="s">
        <v>306</v>
      </c>
      <c r="C24" s="116" t="s">
        <v>275</v>
      </c>
      <c r="D24" s="115" t="s">
        <v>275</v>
      </c>
      <c r="E24" s="106">
        <v>0.05</v>
      </c>
      <c r="F24" s="106">
        <v>0.1</v>
      </c>
      <c r="G24" s="106">
        <v>0.2</v>
      </c>
      <c r="H24" s="116" t="s">
        <v>275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307</v>
      </c>
      <c r="B25" s="16" t="s">
        <v>308</v>
      </c>
      <c r="C25" s="30" t="s">
        <v>309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275</v>
      </c>
      <c r="J25" s="72" t="s">
        <v>275</v>
      </c>
      <c r="K25" s="72" t="s">
        <v>275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310</v>
      </c>
      <c r="B26" s="16" t="s">
        <v>306</v>
      </c>
      <c r="C26" s="116" t="s">
        <v>275</v>
      </c>
      <c r="D26" s="115" t="s">
        <v>275</v>
      </c>
      <c r="E26" s="106">
        <v>0.2</v>
      </c>
      <c r="F26" s="106">
        <v>0.7</v>
      </c>
      <c r="G26" s="106">
        <v>2</v>
      </c>
      <c r="H26" s="116" t="s">
        <v>275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311</v>
      </c>
      <c r="B27" s="71" t="s">
        <v>306</v>
      </c>
      <c r="C27" s="116" t="s">
        <v>275</v>
      </c>
      <c r="D27" s="115" t="s">
        <v>275</v>
      </c>
      <c r="E27" s="106">
        <v>0.15</v>
      </c>
      <c r="F27" s="106">
        <v>0.25</v>
      </c>
      <c r="G27" s="106">
        <v>1</v>
      </c>
      <c r="H27" s="116" t="s">
        <v>275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312</v>
      </c>
      <c r="B28" s="71" t="s">
        <v>306</v>
      </c>
      <c r="C28" s="116" t="s">
        <v>275</v>
      </c>
      <c r="D28" s="115" t="s">
        <v>275</v>
      </c>
      <c r="E28" s="106">
        <v>0.15</v>
      </c>
      <c r="F28" s="106">
        <v>0.25</v>
      </c>
      <c r="G28" s="106">
        <v>1</v>
      </c>
      <c r="H28" s="116" t="s">
        <v>275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112</v>
      </c>
      <c r="B29" s="118" t="s">
        <v>306</v>
      </c>
      <c r="C29" s="31" t="s">
        <v>275</v>
      </c>
      <c r="D29" s="31" t="s">
        <v>275</v>
      </c>
      <c r="E29" s="24">
        <v>0.1</v>
      </c>
      <c r="F29" s="24">
        <v>0.2</v>
      </c>
      <c r="G29" s="24">
        <v>0</v>
      </c>
      <c r="H29" s="31" t="s">
        <v>275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313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315</v>
      </c>
      <c r="B34" s="11" t="s">
        <v>316</v>
      </c>
    </row>
    <row r="35" spans="1:36">
      <c r="A35" t="s">
        <v>317</v>
      </c>
      <c r="B35" s="72">
        <v>60</v>
      </c>
      <c r="C35" s="86"/>
    </row>
    <row r="36" spans="1:36">
      <c r="A36" t="s">
        <v>318</v>
      </c>
      <c r="B36" s="72">
        <v>2000</v>
      </c>
      <c r="C36" s="86"/>
    </row>
    <row r="37" spans="1:36">
      <c r="A37" t="s">
        <v>319</v>
      </c>
      <c r="B37" s="2">
        <v>0.4</v>
      </c>
    </row>
    <row r="39" spans="1:36">
      <c r="A39" s="3" t="s">
        <v>320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321</v>
      </c>
      <c r="C40" s="193"/>
    </row>
    <row r="41" spans="1:36">
      <c r="A41" s="5" t="s">
        <v>100</v>
      </c>
      <c r="B41" s="191" t="s">
        <v>91</v>
      </c>
      <c r="C41" s="191" t="s">
        <v>92</v>
      </c>
    </row>
    <row r="42" spans="1:36">
      <c r="A42" t="s">
        <v>303</v>
      </c>
      <c r="B42" s="72">
        <v>450</v>
      </c>
      <c r="C42" s="72">
        <v>450</v>
      </c>
    </row>
    <row r="43" spans="1:36">
      <c r="A43" t="s">
        <v>114</v>
      </c>
      <c r="B43" s="72">
        <v>450</v>
      </c>
      <c r="C43" s="72">
        <v>250</v>
      </c>
    </row>
    <row r="44" spans="1:36">
      <c r="A44" t="s">
        <v>307</v>
      </c>
      <c r="B44" s="72">
        <v>50000</v>
      </c>
      <c r="C44" s="72">
        <v>200000</v>
      </c>
    </row>
    <row r="45" spans="1:36">
      <c r="A45" t="s">
        <v>310</v>
      </c>
      <c r="B45" s="72">
        <v>25000</v>
      </c>
      <c r="C45" s="72">
        <v>50000</v>
      </c>
    </row>
    <row r="46" spans="1:36">
      <c r="A46" t="s">
        <v>311</v>
      </c>
      <c r="B46" s="72">
        <v>6000</v>
      </c>
      <c r="C46" s="72">
        <v>12000</v>
      </c>
    </row>
    <row r="47" spans="1:36">
      <c r="A47" t="s">
        <v>312</v>
      </c>
      <c r="B47" s="72">
        <v>4500</v>
      </c>
      <c r="C47" s="72">
        <v>12000</v>
      </c>
    </row>
    <row r="48" spans="1:36">
      <c r="A48" t="s">
        <v>112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283</v>
      </c>
      <c r="E52" s="12" t="s">
        <v>283</v>
      </c>
      <c r="F52" s="12" t="s">
        <v>283</v>
      </c>
      <c r="G52" s="12" t="s">
        <v>323</v>
      </c>
      <c r="H52" s="12" t="s">
        <v>132</v>
      </c>
      <c r="I52" s="12" t="s">
        <v>324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241</v>
      </c>
      <c r="E53" s="10" t="s">
        <v>200</v>
      </c>
      <c r="F53" s="10" t="s">
        <v>260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178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237</v>
      </c>
      <c r="J76" s="11" t="s">
        <v>357</v>
      </c>
      <c r="K76" s="11" t="s">
        <v>190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91</v>
      </c>
      <c r="F77" s="12" t="s">
        <v>91</v>
      </c>
      <c r="G77" s="12" t="s">
        <v>359</v>
      </c>
      <c r="H77" s="12" t="s">
        <v>132</v>
      </c>
      <c r="I77" s="12" t="s">
        <v>360</v>
      </c>
      <c r="J77" s="136" t="s">
        <v>361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362</v>
      </c>
      <c r="D78" s="133"/>
      <c r="E78" s="12" t="s">
        <v>363</v>
      </c>
      <c r="F78" s="12" t="s">
        <v>364</v>
      </c>
      <c r="G78" s="12" t="s">
        <v>113</v>
      </c>
      <c r="H78" s="12" t="s">
        <v>324</v>
      </c>
      <c r="I78" s="12" t="s">
        <v>365</v>
      </c>
      <c r="J78" s="70" t="s">
        <v>95</v>
      </c>
      <c r="K78" s="12" t="s">
        <v>91</v>
      </c>
      <c r="AJ78" s="12"/>
    </row>
    <row r="79" spans="1:36">
      <c r="B79" s="176">
        <v>10</v>
      </c>
      <c r="C79" s="12" t="s">
        <v>165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178</v>
      </c>
      <c r="J79" s="70" t="s">
        <v>369</v>
      </c>
      <c r="K79" s="12" t="s">
        <v>91</v>
      </c>
      <c r="AJ79" s="12"/>
    </row>
    <row r="80" spans="1:36">
      <c r="B80" s="176">
        <v>20</v>
      </c>
      <c r="C80" s="12" t="s">
        <v>164</v>
      </c>
      <c r="D80" s="12">
        <f>D79+1</f>
        <v>2</v>
      </c>
      <c r="E80" s="12" t="s">
        <v>370</v>
      </c>
      <c r="F80" s="12" t="s">
        <v>371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163</v>
      </c>
      <c r="D81" s="12">
        <f>D80+1</f>
        <v>3</v>
      </c>
      <c r="J81" s="70" t="s">
        <v>97</v>
      </c>
      <c r="K81" s="12" t="s">
        <v>92</v>
      </c>
    </row>
    <row r="82" spans="1:36">
      <c r="B82" s="176">
        <v>40</v>
      </c>
      <c r="C82" s="12" t="s">
        <v>162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374</v>
      </c>
      <c r="D87" s="12">
        <f>D86+1</f>
        <v>9</v>
      </c>
    </row>
    <row r="88" spans="1:36">
      <c r="B88" s="176">
        <v>99.99999999999999</v>
      </c>
      <c r="C88" s="12" t="s">
        <v>375</v>
      </c>
      <c r="D88" s="12">
        <f>D87+1</f>
        <v>10</v>
      </c>
    </row>
    <row r="89" spans="1:36">
      <c r="C89" s="12" t="s">
        <v>376</v>
      </c>
      <c r="D89" s="12">
        <f>D88+1</f>
        <v>11</v>
      </c>
    </row>
    <row r="90" spans="1:36">
      <c r="C90" s="12" t="s">
        <v>93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