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<sst xmlns="http://schemas.openxmlformats.org/spreadsheetml/2006/main" uniqueCount="370">
  <si>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</si>
  <si>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</si>
  <si>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</si>
  <si>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</si>
  <si>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</si>
  <si>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</si>
  <si>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</si>
  <si>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</si>
  <si>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</si>
  <si>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</si>
  <si>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</si>
  <si>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</si>
  <si>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</si>
  <si>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</si>
  <si>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</si>
  <si>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</si>
  <si>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</si>
  <si>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</si>
  <si>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</si>
  <si>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</si>
  <si>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</si>
  <si>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</si>
  <si>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</si>
  <si>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</si>
  <si>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</si>
  <si>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</si>
  <si>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</si>
  <si>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</si>
  <si>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</si>
  <si>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</si>
  <si>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</si>
  <si>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</si>
  <si>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</si>
  <si>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</si>
  <si>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</si>
  <si>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</si>
  <si>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</si>
  <si>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</si>
  <si>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</si>
  <si>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</si>
  <si>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</si>
  <si>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</si>
  <si>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</si>
  <si>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</si>
  <si>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</si>
  <si>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</si>
  <si>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</si>
  <si>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</si>
  <si>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</si>
  <si>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</si>
  <si>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</si>
  <si>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</si>
  <si>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</si>
  <si>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</si>
  <si>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</si>
  <si>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</si>
  <si>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</si>
  <si>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</si>
  <si>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</si>
  <si>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</si>
  <si>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</si>
  <si>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</si>
  <si>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</si>
  <si>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</si>
  <si>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</si>
  <si>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</si>
  <si>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</si>
  <si>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</si>
  <si>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</si>
  <si>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</si>
  <si>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</si>
  <si>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</si>
  <si>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</si>
  <si>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</si>
  <si>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</si>
  <si>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</si>
  <si>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</si>
  <si>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</si>
  <si>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</si>
  <si>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</si>
  <si>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</si>
  <si>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</si>
  <si>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</si>
  <si>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</si>
  <si>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</si>
  <si>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</si>
  <si>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</si>
  <si>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</si>
  <si>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</si>
  <si>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</si>
  <si>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</si>
  <si>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No</t>
  </si>
  <si>
    <t>Yes</t>
  </si>
  <si>
    <t>Yes using a diesel pump</t>
  </si>
  <si>
    <t>September</t>
  </si>
  <si>
    <t>Other crops</t>
  </si>
  <si>
    <t>Shop_common variety</t>
  </si>
  <si>
    <t>Yes both manure and inorganic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</si>
  <si>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</si>
  <si>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</si>
  <si>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</si>
  <si>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</si>
  <si>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</si>
  <si>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</si>
  <si>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</si>
  <si>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</si>
  <si>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</si>
  <si>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</si>
  <si>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</si>
  <si>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</si>
  <si>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</si>
  <si>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</si>
  <si>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</si>
  <si>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</si>
  <si>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</si>
  <si>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</si>
  <si>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</si>
  <si>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</si>
  <si>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vegetables like potatoes, carrots etc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</si>
  <si>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</si>
  <si>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</si>
  <si>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</si>
  <si>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</si>
  <si>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</si>
  <si>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</si>
  <si>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</si>
  <si>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Taxi</t>
  </si>
  <si>
    <t>March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</si>
  <si>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</si>
  <si>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</si>
  <si>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</si>
  <si>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</si>
  <si>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</si>
  <si>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</si>
  <si>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</si>
  <si>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</si>
  <si>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</si>
  <si>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</si>
  <si>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</si>
  <si>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</si>
  <si>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</si>
  <si>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</si>
  <si>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</si>
  <si>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</si>
  <si>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</si>
  <si>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</si>
  <si>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</si>
  <si>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</si>
  <si>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</si>
  <si>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3/15/2017</t>
  </si>
  <si>
    <t>Faulu</t>
  </si>
  <si>
    <t>the loan was asset financing and is being paid from the taxi income (60,000)</t>
  </si>
  <si>
    <t>Mpesa &amp; bank cash flows (from past statements)</t>
  </si>
  <si>
    <t>Cash inflows</t>
  </si>
  <si>
    <t>Cash outflows</t>
  </si>
  <si>
    <t>June</t>
  </si>
  <si>
    <t>May</t>
  </si>
  <si>
    <t>April</t>
  </si>
  <si>
    <t>February</t>
  </si>
  <si>
    <t>January</t>
  </si>
  <si>
    <t>Loan info</t>
  </si>
  <si>
    <t>Branch ID</t>
  </si>
  <si>
    <t>Submission date</t>
  </si>
  <si>
    <t>2017/7/19</t>
  </si>
  <si>
    <t>Loan terms</t>
  </si>
  <si>
    <t>Expected disbursement date</t>
  </si>
  <si>
    <t>Expected first repayment date</t>
  </si>
  <si>
    <t>2017/8/19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</si>
  <si>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</si>
  <si>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</si>
  <si>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</si>
  <si>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</si>
  <si>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</si>
  <si>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</si>
  <si>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</si>
  <si>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</si>
  <si>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</si>
  <si>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</si>
  <si>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</si>
  <si>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</si>
  <si>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</si>
  <si>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</si>
  <si>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</si>
  <si>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</si>
  <si>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</si>
  <si>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</si>
  <si>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</si>
  <si>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</si>
  <si>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</si>
  <si>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</si>
  <si>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</si>
  <si>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</si>
  <si>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</si>
  <si>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</si>
  <si>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</si>
  <si>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</si>
  <si>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</si>
  <si>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</si>
  <si>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</si>
  <si>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</si>
  <si>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</si>
  <si>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</si>
  <si>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</si>
  <si>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</si>
  <si>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</si>
  <si>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</si>
  <si>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</si>
  <si>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</si>
  <si>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</si>
  <si>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</si>
  <si>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</si>
  <si>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</si>
  <si>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</si>
  <si>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</si>
  <si>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</si>
  <si>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</si>
  <si>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</si>
  <si>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</si>
  <si>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</si>
  <si>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</si>
  <si>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</si>
  <si>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</si>
  <si>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</si>
  <si>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</si>
  <si>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</si>
  <si>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</si>
  <si>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</si>
  <si>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</si>
  <si>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</si>
  <si>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</si>
  <si>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</si>
  <si>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</si>
  <si>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</si>
  <si>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</si>
  <si>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</si>
  <si>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</si>
  <si>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</si>
  <si>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</si>
  <si>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</si>
  <si>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</si>
  <si>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</si>
  <si>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</si>
  <si>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</si>
  <si>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</si>
  <si>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</si>
  <si>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</si>
  <si>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</si>
  <si>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</si>
  <si>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</si>
  <si>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</si>
  <si>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</si>
  <si>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</si>
  <si>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</si>
  <si>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</si>
  <si>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</si>
  <si>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</si>
  <si>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</si>
  <si>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</si>
  <si>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</si>
  <si>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</si>
  <si>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</si>
  <si>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</si>
  <si>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</si>
  <si>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</si>
  <si>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</si>
  <si>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</si>
  <si>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</si>
  <si>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</si>
  <si>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</si>
  <si>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</si>
  <si>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</si>
  <si>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</si>
  <si>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</si>
  <si>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</si>
  <si>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</si>
  <si>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</si>
  <si>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</si>
  <si>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</si>
  <si>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</si>
  <si>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</si>
  <si>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</si>
  <si>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</si>
  <si>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</si>
  <si>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</si>
  <si>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</si>
  <si>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</si>
  <si>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</si>
  <si>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</si>
  <si>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</si>
  <si>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</si>
  <si>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</si>
  <si>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</si>
  <si>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</si>
  <si>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</si>
  <si>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</si>
  <si>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</si>
  <si>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</si>
  <si>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</si>
  <si>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</si>
  <si>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</si>
  <si>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</si>
  <si>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</si>
  <si>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</si>
  <si>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</si>
  <si>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</si>
  <si>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</si>
  <si>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</si>
  <si>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</si>
  <si>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</si>
  <si>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</si>
  <si>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</si>
  <si>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</si>
  <si>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</si>
  <si>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</si>
  <si>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</si>
  <si>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</si>
  <si>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</si>
  <si>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</si>
  <si>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</si>
  <si>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</si>
  <si>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</si>
  <si>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</si>
  <si>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</si>
  <si>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</si>
  <si>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</si>
  <si>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</si>
  <si>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</si>
  <si>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</si>
  <si>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</si>
  <si>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</si>
  <si>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</si>
  <si>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</si>
  <si>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</si>
  <si>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</si>
  <si>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</si>
  <si>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</si>
  <si>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</si>
  <si>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</si>
  <si>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</si>
  <si>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</si>
  <si>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</si>
  <si>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</si>
  <si>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</si>
  <si>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</si>
  <si>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</si>
  <si>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</si>
  <si>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</si>
  <si>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</si>
  <si>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</si>
  <si>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</si>
  <si>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</si>
  <si>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</si>
  <si>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</si>
  <si>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</si>
  <si>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</si>
  <si>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</si>
  <si>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</si>
  <si>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</si>
  <si>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</si>
  <si>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</si>
  <si>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</si>
  <si>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</si>
  <si>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</si>
  <si>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</si>
  <si>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Yes without the use of a pump</t>
  </si>
  <si>
    <t>NGO</t>
  </si>
  <si>
    <t>July</t>
  </si>
  <si>
    <t>August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</si>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</sst>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selling vegetables like potatoes, carrots etc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0.01151442044083781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26250</v>
      </c>
    </row>
    <row r="17" spans="1:7">
      <c r="B17" s="1" t="s">
        <v>11</v>
      </c>
      <c r="C17" s="36">
        <f>SUM(Output!B6:M6)</f>
        <v>-107026165.4135338</v>
      </c>
    </row>
    <row r="18" spans="1:7">
      <c r="B18" s="1" t="s">
        <v>12</v>
      </c>
      <c r="C18" s="36">
        <f>MIN(Output!B6:M6)</f>
        <v>-10018847.11779448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-8818847.117794484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1000000</v>
      </c>
    </row>
    <row r="25" spans="1:7">
      <c r="B25" s="1" t="s">
        <v>18</v>
      </c>
      <c r="C25" s="36">
        <f>MAX(Inputs!A56:A60)</f>
        <v>1000000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-8818847.117794484</v>
      </c>
      <c r="C6" s="51">
        <f>C30-C88</f>
        <v>-8818847.117794484</v>
      </c>
      <c r="D6" s="51">
        <f>D30-D88</f>
        <v>-8818847.117794484</v>
      </c>
      <c r="E6" s="51">
        <f>E30-E88</f>
        <v>-8818847.117794484</v>
      </c>
      <c r="F6" s="51">
        <f>F30-F88</f>
        <v>-8818847.117794484</v>
      </c>
      <c r="G6" s="51">
        <f>G30-G88</f>
        <v>-8818847.117794484</v>
      </c>
      <c r="H6" s="51">
        <f>H30-H88</f>
        <v>-8818847.117794484</v>
      </c>
      <c r="I6" s="51">
        <f>I30-I88</f>
        <v>-8818847.117794484</v>
      </c>
      <c r="J6" s="51">
        <f>J30-J88</f>
        <v>-10018847.11779448</v>
      </c>
      <c r="K6" s="51">
        <f>K30-K88</f>
        <v>-8818847.117794484</v>
      </c>
      <c r="L6" s="51">
        <f>L30-L88</f>
        <v>-8818847.117794484</v>
      </c>
      <c r="M6" s="51">
        <f>M30-M88</f>
        <v>-8818847.117794484</v>
      </c>
      <c r="N6" s="51">
        <f>N30-N88</f>
        <v>-8818847.117794484</v>
      </c>
      <c r="O6" s="51">
        <f>O30-O88</f>
        <v>-8818847.117794484</v>
      </c>
      <c r="P6" s="51">
        <f>P30-P88</f>
        <v>-8818847.117794484</v>
      </c>
      <c r="Q6" s="51">
        <f>Q30-Q88</f>
        <v>-8818847.117794484</v>
      </c>
      <c r="R6" s="51">
        <f>R30-R88</f>
        <v>-8818847.117794484</v>
      </c>
      <c r="S6" s="51">
        <f>S30-S88</f>
        <v>-8818847.117794484</v>
      </c>
      <c r="T6" s="51">
        <f>T30-T88</f>
        <v>61181152.88220552</v>
      </c>
      <c r="U6" s="51">
        <f>U30-U88</f>
        <v>-8818847.117794484</v>
      </c>
      <c r="V6" s="51">
        <f>V30-V88</f>
        <v>-8818847.117794484</v>
      </c>
      <c r="W6" s="51">
        <f>W30-W88</f>
        <v>-8818847.117794484</v>
      </c>
      <c r="X6" s="51">
        <f>X30-X88</f>
        <v>-8818847.117794484</v>
      </c>
      <c r="Y6" s="51">
        <f>Y30-Y88</f>
        <v>-8818847.117794484</v>
      </c>
      <c r="Z6" s="51">
        <f>SUMIF($B$13:$Y$13,"Yes",B6:Y6)</f>
        <v>-142852330.8270676</v>
      </c>
      <c r="AA6" s="51">
        <f>AA30-AA88</f>
        <v>-107026165.4135338</v>
      </c>
      <c r="AB6" s="51">
        <f>AB30-AB88</f>
        <v>-142852330.8270676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33235</v>
      </c>
      <c r="I7" s="80">
        <f>IF(ISERROR(VLOOKUP(MONTH(I5),Inputs!$D$66:$D$71,1,0)),"",INDEX(Inputs!$B$66:$B$71,MATCH(MONTH(Output!I5),Inputs!$D$66:$D$71,0))-INDEX(Inputs!$C$66:$C$71,MATCH(MONTH(Output!I5),Inputs!$D$66:$D$71,0)))</f>
        <v>10907</v>
      </c>
      <c r="J7" s="80">
        <f>IF(ISERROR(VLOOKUP(MONTH(J5),Inputs!$D$66:$D$71,1,0)),"",INDEX(Inputs!$B$66:$B$71,MATCH(MONTH(Output!J5),Inputs!$D$66:$D$71,0))-INDEX(Inputs!$C$66:$C$71,MATCH(MONTH(Output!J5),Inputs!$D$66:$D$71,0)))</f>
        <v>37340</v>
      </c>
      <c r="K7" s="80">
        <f>IF(ISERROR(VLOOKUP(MONTH(K5),Inputs!$D$66:$D$71,1,0)),"",INDEX(Inputs!$B$66:$B$71,MATCH(MONTH(Output!K5),Inputs!$D$66:$D$71,0))-INDEX(Inputs!$C$66:$C$71,MATCH(MONTH(Output!K5),Inputs!$D$66:$D$71,0)))</f>
        <v>64341</v>
      </c>
      <c r="L7" s="80">
        <f>IF(ISERROR(VLOOKUP(MONTH(L5),Inputs!$D$66:$D$71,1,0)),"",INDEX(Inputs!$B$66:$B$71,MATCH(MONTH(Output!L5),Inputs!$D$66:$D$71,0))-INDEX(Inputs!$C$66:$C$71,MATCH(MONTH(Output!L5),Inputs!$D$66:$D$71,0)))</f>
        <v>46430</v>
      </c>
      <c r="M7" s="80">
        <f>IF(ISERROR(VLOOKUP(MONTH(M5),Inputs!$D$66:$D$71,1,0)),"",INDEX(Inputs!$B$66:$B$71,MATCH(MONTH(Output!M5),Inputs!$D$66:$D$71,0))-INDEX(Inputs!$C$66:$C$71,MATCH(MONTH(Output!M5),Inputs!$D$66:$D$71,0)))</f>
        <v>30225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33235</v>
      </c>
      <c r="U7" s="80">
        <f>IF(ISERROR(VLOOKUP(MONTH(U5),Inputs!$D$66:$D$71,1,0)),"",INDEX(Inputs!$B$66:$B$71,MATCH(MONTH(Output!U5),Inputs!$D$66:$D$71,0))-INDEX(Inputs!$C$66:$C$71,MATCH(MONTH(Output!U5),Inputs!$D$66:$D$71,0)))</f>
        <v>10907</v>
      </c>
      <c r="V7" s="80">
        <f>IF(ISERROR(VLOOKUP(MONTH(V5),Inputs!$D$66:$D$71,1,0)),"",INDEX(Inputs!$B$66:$B$71,MATCH(MONTH(Output!V5),Inputs!$D$66:$D$71,0))-INDEX(Inputs!$C$66:$C$71,MATCH(MONTH(Output!V5),Inputs!$D$66:$D$71,0)))</f>
        <v>37340</v>
      </c>
      <c r="W7" s="80">
        <f>IF(ISERROR(VLOOKUP(MONTH(W5),Inputs!$D$66:$D$71,1,0)),"",INDEX(Inputs!$B$66:$B$71,MATCH(MONTH(Output!W5),Inputs!$D$66:$D$71,0))-INDEX(Inputs!$C$66:$C$71,MATCH(MONTH(Output!W5),Inputs!$D$66:$D$71,0)))</f>
        <v>64341</v>
      </c>
      <c r="X7" s="80">
        <f>IF(ISERROR(VLOOKUP(MONTH(X5),Inputs!$D$66:$D$71,1,0)),"",INDEX(Inputs!$B$66:$B$71,MATCH(MONTH(Output!X5),Inputs!$D$66:$D$71,0))-INDEX(Inputs!$C$66:$C$71,MATCH(MONTH(Output!X5),Inputs!$D$66:$D$71,0)))</f>
        <v>46430</v>
      </c>
      <c r="Y7" s="80">
        <f>IF(ISERROR(VLOOKUP(MONTH(Y5),Inputs!$D$66:$D$71,1,0)),"",INDEX(Inputs!$B$66:$B$71,MATCH(MONTH(Output!Y5),Inputs!$D$66:$D$71,0))-INDEX(Inputs!$C$66:$C$71,MATCH(MONTH(Output!Y5),Inputs!$D$66:$D$71,0)))</f>
        <v>30225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450000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450000</v>
      </c>
      <c r="AA9" s="75">
        <f>SUM(B9:M9)</f>
        <v>450000</v>
      </c>
      <c r="AB9" s="75">
        <f>SUM(B9:Y9)</f>
        <v>450000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26250</v>
      </c>
      <c r="D10" s="37">
        <f>SUMPRODUCT((Calculations!$D$33:$D$84=Output!D5)+0,Calculations!$C$33:$C$84)</f>
        <v>26250</v>
      </c>
      <c r="E10" s="37">
        <f>SUMPRODUCT((Calculations!$D$33:$D$84=Output!E5)+0,Calculations!$C$33:$C$84)</f>
        <v>26250</v>
      </c>
      <c r="F10" s="37">
        <f>SUMPRODUCT((Calculations!$D$33:$D$84=Output!F5)+0,Calculations!$C$33:$C$84)</f>
        <v>26250</v>
      </c>
      <c r="G10" s="37">
        <f>SUMPRODUCT((Calculations!$D$33:$D$84=Output!G5)+0,Calculations!$C$33:$C$84)</f>
        <v>26250</v>
      </c>
      <c r="H10" s="37">
        <f>SUMPRODUCT((Calculations!$D$33:$D$84=Output!H5)+0,Calculations!$C$33:$C$84)</f>
        <v>26250</v>
      </c>
      <c r="I10" s="37">
        <f>SUMPRODUCT((Calculations!$D$33:$D$84=Output!I5)+0,Calculations!$C$33:$C$84)</f>
        <v>26250</v>
      </c>
      <c r="J10" s="37">
        <f>SUMPRODUCT((Calculations!$D$33:$D$84=Output!J5)+0,Calculations!$C$33:$C$84)</f>
        <v>26250</v>
      </c>
      <c r="K10" s="37">
        <f>SUMPRODUCT((Calculations!$D$33:$D$84=Output!K5)+0,Calculations!$C$33:$C$84)</f>
        <v>26250</v>
      </c>
      <c r="L10" s="37">
        <f>SUMPRODUCT((Calculations!$D$33:$D$84=Output!L5)+0,Calculations!$C$33:$C$84)</f>
        <v>26250</v>
      </c>
      <c r="M10" s="37">
        <f>SUMPRODUCT((Calculations!$D$33:$D$84=Output!M5)+0,Calculations!$C$33:$C$84)</f>
        <v>26250</v>
      </c>
      <c r="N10" s="37">
        <f>SUMPRODUCT((Calculations!$D$33:$D$84=Output!N5)+0,Calculations!$C$33:$C$84)</f>
        <v>26250</v>
      </c>
      <c r="O10" s="37">
        <f>SUMPRODUCT((Calculations!$D$33:$D$84=Output!O5)+0,Calculations!$C$33:$C$84)</f>
        <v>26250</v>
      </c>
      <c r="P10" s="37">
        <f>SUMPRODUCT((Calculations!$D$33:$D$84=Output!P5)+0,Calculations!$C$33:$C$84)</f>
        <v>26250</v>
      </c>
      <c r="Q10" s="37">
        <f>SUMPRODUCT((Calculations!$D$33:$D$84=Output!Q5)+0,Calculations!$C$33:$C$84)</f>
        <v>26250</v>
      </c>
      <c r="R10" s="37">
        <f>SUMPRODUCT((Calculations!$D$33:$D$84=Output!R5)+0,Calculations!$C$33:$C$84)</f>
        <v>26250</v>
      </c>
      <c r="S10" s="37">
        <f>SUMPRODUCT((Calculations!$D$33:$D$84=Output!S5)+0,Calculations!$C$33:$C$84)</f>
        <v>26250</v>
      </c>
      <c r="T10" s="37">
        <f>SUMPRODUCT((Calculations!$D$33:$D$84=Output!T5)+0,Calculations!$C$33:$C$84)</f>
        <v>26250</v>
      </c>
      <c r="U10" s="37">
        <f>SUMPRODUCT((Calculations!$D$33:$D$84=Output!U5)+0,Calculations!$C$33:$C$84)</f>
        <v>26250</v>
      </c>
      <c r="V10" s="37">
        <f>SUMPRODUCT((Calculations!$D$33:$D$84=Output!V5)+0,Calculations!$C$33:$C$84)</f>
        <v>26250</v>
      </c>
      <c r="W10" s="37">
        <f>SUMPRODUCT((Calculations!$D$33:$D$84=Output!W5)+0,Calculations!$C$33:$C$84)</f>
        <v>26250</v>
      </c>
      <c r="X10" s="37">
        <f>SUMPRODUCT((Calculations!$D$33:$D$84=Output!X5)+0,Calculations!$C$33:$C$84)</f>
        <v>26250</v>
      </c>
      <c r="Y10" s="37">
        <f>SUMPRODUCT((Calculations!$D$33:$D$84=Output!Y5)+0,Calculations!$C$33:$C$84)</f>
        <v>26250</v>
      </c>
      <c r="Z10" s="37">
        <f>SUMIF($B$13:$Y$13,"Yes",B10:Y10)</f>
        <v>603750</v>
      </c>
      <c r="AA10" s="37">
        <f>SUM(B10:M10)</f>
        <v>288750</v>
      </c>
      <c r="AB10" s="37">
        <f>SUM(B10:Y10)</f>
        <v>603750</v>
      </c>
    </row>
    <row r="11" spans="1:30" customHeight="1" ht="15.75">
      <c r="A11" s="43" t="s">
        <v>31</v>
      </c>
      <c r="B11" s="80">
        <f>B6+B9-B10</f>
        <v>-8368847.117794484</v>
      </c>
      <c r="C11" s="80">
        <f>C6+C9-C10</f>
        <v>-8845097.117794484</v>
      </c>
      <c r="D11" s="80">
        <f>D6+D9-D10</f>
        <v>-8845097.117794484</v>
      </c>
      <c r="E11" s="80">
        <f>E6+E9-E10</f>
        <v>-8845097.117794484</v>
      </c>
      <c r="F11" s="80">
        <f>F6+F9-F10</f>
        <v>-8845097.117794484</v>
      </c>
      <c r="G11" s="80">
        <f>G6+G9-G10</f>
        <v>-8845097.117794484</v>
      </c>
      <c r="H11" s="80">
        <f>H6+H9-H10</f>
        <v>-8845097.117794484</v>
      </c>
      <c r="I11" s="80">
        <f>I6+I9-I10</f>
        <v>-8845097.117794484</v>
      </c>
      <c r="J11" s="80">
        <f>J6+J9-J10</f>
        <v>-10045097.11779448</v>
      </c>
      <c r="K11" s="80">
        <f>K6+K9-K10</f>
        <v>-8845097.117794484</v>
      </c>
      <c r="L11" s="80">
        <f>L6+L9-L10</f>
        <v>-8845097.117794484</v>
      </c>
      <c r="M11" s="80">
        <f>M6+M9-M10</f>
        <v>-8845097.117794484</v>
      </c>
      <c r="N11" s="80">
        <f>N6+N9-N10</f>
        <v>-8845097.117794484</v>
      </c>
      <c r="O11" s="80">
        <f>O6+O9-O10</f>
        <v>-8845097.117794484</v>
      </c>
      <c r="P11" s="80">
        <f>P6+P9-P10</f>
        <v>-8845097.117794484</v>
      </c>
      <c r="Q11" s="80">
        <f>Q6+Q9-Q10</f>
        <v>-8845097.117794484</v>
      </c>
      <c r="R11" s="80">
        <f>R6+R9-R10</f>
        <v>-8845097.117794484</v>
      </c>
      <c r="S11" s="80">
        <f>S6+S9-S10</f>
        <v>-8845097.117794484</v>
      </c>
      <c r="T11" s="80">
        <f>T6+T9-T10</f>
        <v>61154902.88220552</v>
      </c>
      <c r="U11" s="80">
        <f>U6+U9-U10</f>
        <v>-8845097.117794484</v>
      </c>
      <c r="V11" s="80">
        <f>V6+V9-V10</f>
        <v>-8845097.117794484</v>
      </c>
      <c r="W11" s="80">
        <f>W6+W9-W10</f>
        <v>-8845097.117794484</v>
      </c>
      <c r="X11" s="80">
        <f>X6+X9-X10</f>
        <v>-8845097.117794484</v>
      </c>
      <c r="Y11" s="80">
        <f>Y6+Y9-Y10</f>
        <v>-8845097.117794484</v>
      </c>
      <c r="Z11" s="85">
        <f>SUMIF($B$13:$Y$13,"Yes",B11:Y11)</f>
        <v>-143006080.8270676</v>
      </c>
      <c r="AA11" s="80">
        <f>SUM(B11:M11)</f>
        <v>-106864915.4135338</v>
      </c>
      <c r="AB11" s="46">
        <f>SUM(B11:Y11)</f>
        <v>-143006080.8270676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>
        <f>IF(O13="Yes",IF(SUM($B$10:O10)/(SUM($B$6:O6)+SUM($B$9:O9))&lt;0,999.99,SUM($B$10:O10)/(SUM($B$6:O6)+SUM($B$9:O9))),"")</f>
        <v>999.99</v>
      </c>
      <c r="P12" s="82">
        <f>IF(P13="Yes",IF(SUM($B$10:P10)/(SUM($B$6:P6)+SUM($B$9:P9))&lt;0,999.99,SUM($B$10:P10)/(SUM($B$6:P6)+SUM($B$9:P9))),"")</f>
        <v>999.99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999.99</v>
      </c>
      <c r="S12" s="82">
        <f>IF(S13="Yes",IF(SUM($B$10:S10)/(SUM($B$6:S6)+SUM($B$9:S9))&lt;0,999.99,SUM($B$10:S10)/(SUM($B$6:S6)+SUM($B$9:S9))),"")</f>
        <v>999.99</v>
      </c>
      <c r="T12" s="82">
        <f>IF(T13="Yes",IF(SUM($B$10:T10)/(SUM($B$6:T6)+SUM($B$9:T9))&lt;0,999.99,SUM($B$10:T10)/(SUM($B$6:T6)+SUM($B$9:T9))),"")</f>
        <v>999.99</v>
      </c>
      <c r="U12" s="82">
        <f>IF(U13="Yes",IF(SUM($B$10:U10)/(SUM($B$6:U6)+SUM($B$9:U9))&lt;0,999.99,SUM($B$10:U10)/(SUM($B$6:U6)+SUM($B$9:U9))),"")</f>
        <v>999.99</v>
      </c>
      <c r="V12" s="82">
        <f>IF(V13="Yes",IF(SUM($B$10:V10)/(SUM($B$6:V6)+SUM($B$9:V9))&lt;0,999.99,SUM($B$10:V10)/(SUM($B$6:V6)+SUM($B$9:V9))),"")</f>
        <v>999.99</v>
      </c>
      <c r="W12" s="82">
        <f>IF(W13="Yes",IF(SUM($B$10:W10)/(SUM($B$6:W6)+SUM($B$9:W9))&lt;0,999.99,SUM($B$10:W10)/(SUM($B$6:W6)+SUM($B$9:W9))),"")</f>
        <v>999.99</v>
      </c>
      <c r="X12" s="82">
        <f>IF(X13="Yes",IF(SUM($B$10:X10)/(SUM($B$6:X6)+SUM($B$9:X9))&lt;0,999.99,SUM($B$10:X10)/(SUM($B$6:X6)+SUM($B$9:X9))),"")</f>
        <v>999.99</v>
      </c>
      <c r="Y12" s="82">
        <f>IF(Y13="Yes",IF(SUM($B$10:Y10)/(SUM($B$6:Y6)+SUM($B$9:Y9))&lt;0,999.99,SUM($B$10:Y10)/(SUM($B$6:Y6)+SUM($B$9:Y9))),"")</f>
        <v>999.99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54887218.04511274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70000000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70000000</v>
      </c>
      <c r="AA27" s="36">
        <f>SUM(B27:M27)</f>
        <v>0</v>
      </c>
      <c r="AB27" s="46">
        <f>SUM(B27:Y27)</f>
        <v>70000000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70050000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71200000</v>
      </c>
      <c r="AA30" s="19">
        <f>SUM(B30:M30)</f>
        <v>600000</v>
      </c>
      <c r="AB30" s="19">
        <f>SUM(B30:Y30)</f>
        <v>71200000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12166666.66666667</v>
      </c>
      <c r="C74" s="46">
        <f>SUM(Calculations!$Q$14:$Q$16)/12</f>
        <v>12166666.66666667</v>
      </c>
      <c r="D74" s="46">
        <f>SUM(Calculations!$Q$14:$Q$16)/12</f>
        <v>12166666.66666667</v>
      </c>
      <c r="E74" s="46">
        <f>SUM(Calculations!$Q$14:$Q$16)/12</f>
        <v>12166666.66666667</v>
      </c>
      <c r="F74" s="46">
        <f>SUM(Calculations!$Q$14:$Q$16)/12</f>
        <v>12166666.66666667</v>
      </c>
      <c r="G74" s="46">
        <f>SUM(Calculations!$Q$14:$Q$16)/12</f>
        <v>12166666.66666667</v>
      </c>
      <c r="H74" s="46">
        <f>SUM(Calculations!$Q$14:$Q$16)/12</f>
        <v>12166666.66666667</v>
      </c>
      <c r="I74" s="46">
        <f>SUM(Calculations!$Q$14:$Q$16)/12</f>
        <v>12166666.66666667</v>
      </c>
      <c r="J74" s="46">
        <f>SUM(Calculations!$Q$14:$Q$16)/12</f>
        <v>12166666.66666667</v>
      </c>
      <c r="K74" s="46">
        <f>SUM(Calculations!$Q$14:$Q$16)/12</f>
        <v>12166666.66666667</v>
      </c>
      <c r="L74" s="46">
        <f>SUM(Calculations!$Q$14:$Q$16)/12</f>
        <v>12166666.66666667</v>
      </c>
      <c r="M74" s="46">
        <f>SUM(Calculations!$Q$14:$Q$16)/12</f>
        <v>12166666.66666667</v>
      </c>
      <c r="N74" s="46">
        <f>SUM(Calculations!$Q$14:$Q$16)/12</f>
        <v>12166666.66666667</v>
      </c>
      <c r="O74" s="46">
        <f>SUM(Calculations!$Q$14:$Q$16)/12</f>
        <v>12166666.66666667</v>
      </c>
      <c r="P74" s="46">
        <f>SUM(Calculations!$Q$14:$Q$16)/12</f>
        <v>12166666.66666667</v>
      </c>
      <c r="Q74" s="46">
        <f>SUM(Calculations!$Q$14:$Q$16)/12</f>
        <v>12166666.66666667</v>
      </c>
      <c r="R74" s="46">
        <f>SUM(Calculations!$Q$14:$Q$16)/12</f>
        <v>12166666.66666667</v>
      </c>
      <c r="S74" s="46">
        <f>SUM(Calculations!$Q$14:$Q$16)/12</f>
        <v>12166666.66666667</v>
      </c>
      <c r="T74" s="46">
        <f>SUM(Calculations!$Q$14:$Q$16)/12</f>
        <v>12166666.66666667</v>
      </c>
      <c r="U74" s="46">
        <f>SUM(Calculations!$Q$14:$Q$16)/12</f>
        <v>12166666.66666667</v>
      </c>
      <c r="V74" s="46">
        <f>SUM(Calculations!$Q$14:$Q$16)/12</f>
        <v>12166666.66666667</v>
      </c>
      <c r="W74" s="46">
        <f>SUM(Calculations!$Q$14:$Q$16)/12</f>
        <v>12166666.66666667</v>
      </c>
      <c r="X74" s="46">
        <f>SUM(Calculations!$Q$14:$Q$16)/12</f>
        <v>12166666.66666667</v>
      </c>
      <c r="Y74" s="46">
        <f>SUM(Calculations!$Q$14:$Q$16)/12</f>
        <v>12166666.66666667</v>
      </c>
      <c r="Z74" s="46">
        <f>SUMIF($B$13:$Y$13,"Yes",B74:Y74)</f>
        <v>291999999.9999999</v>
      </c>
      <c r="AA74" s="46">
        <f>SUM(B74:M74)</f>
        <v>146000000</v>
      </c>
      <c r="AB74" s="46">
        <f>SUM(B74:Y74)</f>
        <v>291999999.9999999</v>
      </c>
    </row>
    <row r="75" spans="1:30">
      <c r="A75" s="16" t="s">
        <v>47</v>
      </c>
      <c r="B75" s="46">
        <f>SUM(Calculations!$R$14:$R$16)/12</f>
        <v>284444.4444444444</v>
      </c>
      <c r="C75" s="46">
        <f>SUM(Calculations!$R$14:$R$16)/12</f>
        <v>284444.4444444444</v>
      </c>
      <c r="D75" s="46">
        <f>SUM(Calculations!$R$14:$R$16)/12</f>
        <v>284444.4444444444</v>
      </c>
      <c r="E75" s="46">
        <f>SUM(Calculations!$R$14:$R$16)/12</f>
        <v>284444.4444444444</v>
      </c>
      <c r="F75" s="46">
        <f>SUM(Calculations!$R$14:$R$16)/12</f>
        <v>284444.4444444444</v>
      </c>
      <c r="G75" s="46">
        <f>SUM(Calculations!$R$14:$R$16)/12</f>
        <v>284444.4444444444</v>
      </c>
      <c r="H75" s="46">
        <f>SUM(Calculations!$R$14:$R$16)/12</f>
        <v>284444.4444444444</v>
      </c>
      <c r="I75" s="46">
        <f>SUM(Calculations!$R$14:$R$16)/12</f>
        <v>284444.4444444444</v>
      </c>
      <c r="J75" s="46">
        <f>SUM(Calculations!$R$14:$R$16)/12</f>
        <v>284444.4444444444</v>
      </c>
      <c r="K75" s="46">
        <f>SUM(Calculations!$R$14:$R$16)/12</f>
        <v>284444.4444444444</v>
      </c>
      <c r="L75" s="46">
        <f>SUM(Calculations!$R$14:$R$16)/12</f>
        <v>284444.4444444444</v>
      </c>
      <c r="M75" s="46">
        <f>SUM(Calculations!$R$14:$R$16)/12</f>
        <v>284444.4444444444</v>
      </c>
      <c r="N75" s="46">
        <f>SUM(Calculations!$R$14:$R$16)/12</f>
        <v>284444.4444444444</v>
      </c>
      <c r="O75" s="46">
        <f>SUM(Calculations!$R$14:$R$16)/12</f>
        <v>284444.4444444444</v>
      </c>
      <c r="P75" s="46">
        <f>SUM(Calculations!$R$14:$R$16)/12</f>
        <v>284444.4444444444</v>
      </c>
      <c r="Q75" s="46">
        <f>SUM(Calculations!$R$14:$R$16)/12</f>
        <v>284444.4444444444</v>
      </c>
      <c r="R75" s="46">
        <f>SUM(Calculations!$R$14:$R$16)/12</f>
        <v>284444.4444444444</v>
      </c>
      <c r="S75" s="46">
        <f>SUM(Calculations!$R$14:$R$16)/12</f>
        <v>284444.4444444444</v>
      </c>
      <c r="T75" s="46">
        <f>SUM(Calculations!$R$14:$R$16)/12</f>
        <v>284444.4444444444</v>
      </c>
      <c r="U75" s="46">
        <f>SUM(Calculations!$R$14:$R$16)/12</f>
        <v>284444.4444444444</v>
      </c>
      <c r="V75" s="46">
        <f>SUM(Calculations!$R$14:$R$16)/12</f>
        <v>284444.4444444444</v>
      </c>
      <c r="W75" s="46">
        <f>SUM(Calculations!$R$14:$R$16)/12</f>
        <v>284444.4444444444</v>
      </c>
      <c r="X75" s="46">
        <f>SUM(Calculations!$R$14:$R$16)/12</f>
        <v>284444.4444444444</v>
      </c>
      <c r="Y75" s="46">
        <f>SUM(Calculations!$R$14:$R$16)/12</f>
        <v>284444.4444444444</v>
      </c>
      <c r="Z75" s="46">
        <f>SUMIF($B$13:$Y$13,"Yes",B75:Y75)</f>
        <v>6826666.666666663</v>
      </c>
      <c r="AA75" s="46">
        <f>SUM(B75:M75)</f>
        <v>3413333.333333333</v>
      </c>
      <c r="AB75" s="46">
        <f>SUM(B75:Y75)</f>
        <v>6826666.666666663</v>
      </c>
    </row>
    <row r="76" spans="1:30">
      <c r="A76" s="16" t="s">
        <v>48</v>
      </c>
      <c r="B76" s="46">
        <f>SUM(Calculations!$S$14:$S$16)/12</f>
        <v>2286967.418546366</v>
      </c>
      <c r="C76" s="46">
        <f>SUM(Calculations!$S$14:$S$16)/12</f>
        <v>2286967.418546366</v>
      </c>
      <c r="D76" s="46">
        <f>SUM(Calculations!$S$14:$S$16)/12</f>
        <v>2286967.418546366</v>
      </c>
      <c r="E76" s="46">
        <f>SUM(Calculations!$S$14:$S$16)/12</f>
        <v>2286967.418546366</v>
      </c>
      <c r="F76" s="46">
        <f>SUM(Calculations!$S$14:$S$16)/12</f>
        <v>2286967.418546366</v>
      </c>
      <c r="G76" s="46">
        <f>SUM(Calculations!$S$14:$S$16)/12</f>
        <v>2286967.418546366</v>
      </c>
      <c r="H76" s="46">
        <f>SUM(Calculations!$S$14:$S$16)/12</f>
        <v>2286967.418546366</v>
      </c>
      <c r="I76" s="46">
        <f>SUM(Calculations!$S$14:$S$16)/12</f>
        <v>2286967.418546366</v>
      </c>
      <c r="J76" s="46">
        <f>SUM(Calculations!$S$14:$S$16)/12</f>
        <v>2286967.418546366</v>
      </c>
      <c r="K76" s="46">
        <f>SUM(Calculations!$S$14:$S$16)/12</f>
        <v>2286967.418546366</v>
      </c>
      <c r="L76" s="46">
        <f>SUM(Calculations!$S$14:$S$16)/12</f>
        <v>2286967.418546366</v>
      </c>
      <c r="M76" s="46">
        <f>SUM(Calculations!$S$14:$S$16)/12</f>
        <v>2286967.418546366</v>
      </c>
      <c r="N76" s="46">
        <f>SUM(Calculations!$S$14:$S$16)/12</f>
        <v>2286967.418546366</v>
      </c>
      <c r="O76" s="46">
        <f>SUM(Calculations!$S$14:$S$16)/12</f>
        <v>2286967.418546366</v>
      </c>
      <c r="P76" s="46">
        <f>SUM(Calculations!$S$14:$S$16)/12</f>
        <v>2286967.418546366</v>
      </c>
      <c r="Q76" s="46">
        <f>SUM(Calculations!$S$14:$S$16)/12</f>
        <v>2286967.418546366</v>
      </c>
      <c r="R76" s="46">
        <f>SUM(Calculations!$S$14:$S$16)/12</f>
        <v>2286967.418546366</v>
      </c>
      <c r="S76" s="46">
        <f>SUM(Calculations!$S$14:$S$16)/12</f>
        <v>2286967.418546366</v>
      </c>
      <c r="T76" s="46">
        <f>SUM(Calculations!$S$14:$S$16)/12</f>
        <v>2286967.418546366</v>
      </c>
      <c r="U76" s="46">
        <f>SUM(Calculations!$S$14:$S$16)/12</f>
        <v>2286967.418546366</v>
      </c>
      <c r="V76" s="46">
        <f>SUM(Calculations!$S$14:$S$16)/12</f>
        <v>2286967.418546366</v>
      </c>
      <c r="W76" s="46">
        <f>SUM(Calculations!$S$14:$S$16)/12</f>
        <v>2286967.418546366</v>
      </c>
      <c r="X76" s="46">
        <f>SUM(Calculations!$S$14:$S$16)/12</f>
        <v>2286967.418546366</v>
      </c>
      <c r="Y76" s="46">
        <f>SUM(Calculations!$S$14:$S$16)/12</f>
        <v>2286967.418546366</v>
      </c>
      <c r="Z76" s="46">
        <f>SUMIF($B$13:$Y$13,"Yes",B76:Y76)</f>
        <v>54887218.04511274</v>
      </c>
      <c r="AA76" s="46">
        <f>SUM(B76:M76)</f>
        <v>27443609.02255638</v>
      </c>
      <c r="AB76" s="46">
        <f>SUM(B76:Y76)</f>
        <v>54887218.04511274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1200000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1200000</v>
      </c>
      <c r="AA80" s="46">
        <f>SUM(B80:M80)</f>
        <v>1200000</v>
      </c>
      <c r="AB80" s="46">
        <f>SUM(B80:Y80)</f>
        <v>1200000</v>
      </c>
    </row>
    <row r="81" spans="1:30">
      <c r="A81" s="43" t="s">
        <v>51</v>
      </c>
      <c r="B81" s="46">
        <f>(SUM($AA$18:$AA$29)-SUM($AA$36,$AA$42,$AA$48,$AA$54,$AA$60,$AA$66,$AA$72:$AA$79))*Parameters!$B$37/12</f>
        <v>-5879231.411862992</v>
      </c>
      <c r="C81" s="46">
        <f>(SUM($AA$18:$AA$29)-SUM($AA$36,$AA$42,$AA$48,$AA$54,$AA$60,$AA$66,$AA$72:$AA$79))*Parameters!$B$37/12</f>
        <v>-5879231.411862992</v>
      </c>
      <c r="D81" s="46">
        <f>(SUM($AA$18:$AA$29)-SUM($AA$36,$AA$42,$AA$48,$AA$54,$AA$60,$AA$66,$AA$72:$AA$79))*Parameters!$B$37/12</f>
        <v>-5879231.411862992</v>
      </c>
      <c r="E81" s="46">
        <f>(SUM($AA$18:$AA$29)-SUM($AA$36,$AA$42,$AA$48,$AA$54,$AA$60,$AA$66,$AA$72:$AA$79))*Parameters!$B$37/12</f>
        <v>-5879231.411862992</v>
      </c>
      <c r="F81" s="46">
        <f>(SUM($AA$18:$AA$29)-SUM($AA$36,$AA$42,$AA$48,$AA$54,$AA$60,$AA$66,$AA$72:$AA$79))*Parameters!$B$37/12</f>
        <v>-5879231.411862992</v>
      </c>
      <c r="G81" s="46">
        <f>(SUM($AA$18:$AA$29)-SUM($AA$36,$AA$42,$AA$48,$AA$54,$AA$60,$AA$66,$AA$72:$AA$79))*Parameters!$B$37/12</f>
        <v>-5879231.411862992</v>
      </c>
      <c r="H81" s="46">
        <f>(SUM($AA$18:$AA$29)-SUM($AA$36,$AA$42,$AA$48,$AA$54,$AA$60,$AA$66,$AA$72:$AA$79))*Parameters!$B$37/12</f>
        <v>-5879231.411862992</v>
      </c>
      <c r="I81" s="46">
        <f>(SUM($AA$18:$AA$29)-SUM($AA$36,$AA$42,$AA$48,$AA$54,$AA$60,$AA$66,$AA$72:$AA$79))*Parameters!$B$37/12</f>
        <v>-5879231.411862992</v>
      </c>
      <c r="J81" s="46">
        <f>(SUM($AA$18:$AA$29)-SUM($AA$36,$AA$42,$AA$48,$AA$54,$AA$60,$AA$66,$AA$72:$AA$79))*Parameters!$B$37/12</f>
        <v>-5879231.411862992</v>
      </c>
      <c r="K81" s="46">
        <f>(SUM($AA$18:$AA$29)-SUM($AA$36,$AA$42,$AA$48,$AA$54,$AA$60,$AA$66,$AA$72:$AA$79))*Parameters!$B$37/12</f>
        <v>-5879231.411862992</v>
      </c>
      <c r="L81" s="46">
        <f>(SUM($AA$18:$AA$29)-SUM($AA$36,$AA$42,$AA$48,$AA$54,$AA$60,$AA$66,$AA$72:$AA$79))*Parameters!$B$37/12</f>
        <v>-5879231.411862992</v>
      </c>
      <c r="M81" s="46">
        <f>(SUM($AA$18:$AA$29)-SUM($AA$36,$AA$42,$AA$48,$AA$54,$AA$60,$AA$66,$AA$72:$AA$79))*Parameters!$B$37/12</f>
        <v>-5879231.411862992</v>
      </c>
      <c r="N81" s="46">
        <f>(SUM($AA$18:$AA$29)-SUM($AA$36,$AA$42,$AA$48,$AA$54,$AA$60,$AA$66,$AA$72:$AA$79))*Parameters!$B$37/12</f>
        <v>-5879231.411862992</v>
      </c>
      <c r="O81" s="46">
        <f>(SUM($AA$18:$AA$29)-SUM($AA$36,$AA$42,$AA$48,$AA$54,$AA$60,$AA$66,$AA$72:$AA$79))*Parameters!$B$37/12</f>
        <v>-5879231.411862992</v>
      </c>
      <c r="P81" s="46">
        <f>(SUM($AA$18:$AA$29)-SUM($AA$36,$AA$42,$AA$48,$AA$54,$AA$60,$AA$66,$AA$72:$AA$79))*Parameters!$B$37/12</f>
        <v>-5879231.411862992</v>
      </c>
      <c r="Q81" s="46">
        <f>(SUM($AA$18:$AA$29)-SUM($AA$36,$AA$42,$AA$48,$AA$54,$AA$60,$AA$66,$AA$72:$AA$79))*Parameters!$B$37/12</f>
        <v>-5879231.411862992</v>
      </c>
      <c r="R81" s="46">
        <f>(SUM($AA$18:$AA$29)-SUM($AA$36,$AA$42,$AA$48,$AA$54,$AA$60,$AA$66,$AA$72:$AA$79))*Parameters!$B$37/12</f>
        <v>-5879231.411862992</v>
      </c>
      <c r="S81" s="46">
        <f>(SUM($AA$18:$AA$29)-SUM($AA$36,$AA$42,$AA$48,$AA$54,$AA$60,$AA$66,$AA$72:$AA$79))*Parameters!$B$37/12</f>
        <v>-5879231.411862992</v>
      </c>
      <c r="T81" s="46">
        <f>(SUM($AA$18:$AA$29)-SUM($AA$36,$AA$42,$AA$48,$AA$54,$AA$60,$AA$66,$AA$72:$AA$79))*Parameters!$B$37/12</f>
        <v>-5879231.411862992</v>
      </c>
      <c r="U81" s="46">
        <f>(SUM($AA$18:$AA$29)-SUM($AA$36,$AA$42,$AA$48,$AA$54,$AA$60,$AA$66,$AA$72:$AA$79))*Parameters!$B$37/12</f>
        <v>-5879231.411862992</v>
      </c>
      <c r="V81" s="46">
        <f>(SUM($AA$18:$AA$29)-SUM($AA$36,$AA$42,$AA$48,$AA$54,$AA$60,$AA$66,$AA$72:$AA$79))*Parameters!$B$37/12</f>
        <v>-5879231.411862992</v>
      </c>
      <c r="W81" s="46">
        <f>(SUM($AA$18:$AA$29)-SUM($AA$36,$AA$42,$AA$48,$AA$54,$AA$60,$AA$66,$AA$72:$AA$79))*Parameters!$B$37/12</f>
        <v>-5879231.411862992</v>
      </c>
      <c r="X81" s="46">
        <f>(SUM($AA$18:$AA$29)-SUM($AA$36,$AA$42,$AA$48,$AA$54,$AA$60,$AA$66,$AA$72:$AA$79))*Parameters!$B$37/12</f>
        <v>-5879231.411862992</v>
      </c>
      <c r="Y81" s="46">
        <f>(SUM($AA$18:$AA$29)-SUM($AA$36,$AA$42,$AA$48,$AA$54,$AA$60,$AA$66,$AA$72:$AA$79))*Parameters!$B$37/12</f>
        <v>-5879231.411862992</v>
      </c>
      <c r="Z81" s="46">
        <f>SUMIF($B$13:$Y$13,"Yes",B81:Y81)</f>
        <v>-141101553.8847119</v>
      </c>
      <c r="AA81" s="46">
        <f>SUM(B81:M81)</f>
        <v>-70550776.9423559</v>
      </c>
      <c r="AB81" s="46">
        <f>SUM(B81:Y81)</f>
        <v>-141101553.8847119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8868847.117794484</v>
      </c>
      <c r="C88" s="19">
        <f>SUM(C72:C82,C66,C60,C54,C48,C42,C36)</f>
        <v>8868847.117794484</v>
      </c>
      <c r="D88" s="19">
        <f>SUM(D72:D82,D66,D60,D54,D48,D42,D36)</f>
        <v>8868847.117794484</v>
      </c>
      <c r="E88" s="19">
        <f>SUM(E72:E82,E66,E60,E54,E48,E42,E36)</f>
        <v>8868847.117794484</v>
      </c>
      <c r="F88" s="19">
        <f>SUM(F72:F82,F66,F60,F54,F48,F42,F36)</f>
        <v>8868847.117794484</v>
      </c>
      <c r="G88" s="19">
        <f>SUM(G72:G82,G66,G60,G54,G48,G42,G36)</f>
        <v>8868847.117794484</v>
      </c>
      <c r="H88" s="19">
        <f>SUM(H72:H82,H66,H60,H54,H48,H42,H36)</f>
        <v>8868847.117794484</v>
      </c>
      <c r="I88" s="19">
        <f>SUM(I72:I82,I66,I60,I54,I48,I42,I36)</f>
        <v>8868847.117794484</v>
      </c>
      <c r="J88" s="19">
        <f>SUM(J72:J82,J66,J60,J54,J48,J42,J36)</f>
        <v>10068847.11779448</v>
      </c>
      <c r="K88" s="19">
        <f>SUM(K72:K82,K66,K60,K54,K48,K42,K36)</f>
        <v>8868847.117794484</v>
      </c>
      <c r="L88" s="19">
        <f>SUM(L72:L82,L66,L60,L54,L48,L42,L36)</f>
        <v>8868847.117794484</v>
      </c>
      <c r="M88" s="19">
        <f>SUM(M72:M82,M66,M60,M54,M48,M42,M36)</f>
        <v>8868847.117794484</v>
      </c>
      <c r="N88" s="19">
        <f>SUM(N72:N82,N66,N60,N54,N48,N42,N36)</f>
        <v>8868847.117794484</v>
      </c>
      <c r="O88" s="19">
        <f>SUM(O72:O82,O66,O60,O54,O48,O42,O36)</f>
        <v>8868847.117794484</v>
      </c>
      <c r="P88" s="19">
        <f>SUM(P72:P82,P66,P60,P54,P48,P42,P36)</f>
        <v>8868847.117794484</v>
      </c>
      <c r="Q88" s="19">
        <f>SUM(Q72:Q82,Q66,Q60,Q54,Q48,Q42,Q36)</f>
        <v>8868847.117794484</v>
      </c>
      <c r="R88" s="19">
        <f>SUM(R72:R82,R66,R60,R54,R48,R42,R36)</f>
        <v>8868847.117794484</v>
      </c>
      <c r="S88" s="19">
        <f>SUM(S72:S82,S66,S60,S54,S48,S42,S36)</f>
        <v>8868847.117794484</v>
      </c>
      <c r="T88" s="19">
        <f>SUM(T72:T82,T66,T60,T54,T48,T42,T36)</f>
        <v>8868847.117794484</v>
      </c>
      <c r="U88" s="19">
        <f>SUM(U72:U82,U66,U60,U54,U48,U42,U36)</f>
        <v>8868847.117794484</v>
      </c>
      <c r="V88" s="19">
        <f>SUM(V72:V82,V66,V60,V54,V48,V42,V36)</f>
        <v>8868847.117794484</v>
      </c>
      <c r="W88" s="19">
        <f>SUM(W72:W82,W66,W60,W54,W48,W42,W36)</f>
        <v>8868847.117794484</v>
      </c>
      <c r="X88" s="19">
        <f>SUM(X72:X82,X66,X60,X54,X48,X42,X36)</f>
        <v>8868847.117794484</v>
      </c>
      <c r="Y88" s="19">
        <f>SUM(Y72:Y82,Y66,Y60,Y54,Y48,Y42,Y36)</f>
        <v>8868847.117794484</v>
      </c>
      <c r="Z88" s="19">
        <f>SUMIF($B$13:$Y$13,"Yes",B88:Y88)</f>
        <v>214052330.8270676</v>
      </c>
      <c r="AA88" s="19">
        <f>SUM(B88:M88)</f>
        <v>107626165.4135338</v>
      </c>
      <c r="AB88" s="19">
        <f>SUM(B88:Y88)</f>
        <v>214052330.8270676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180000000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600000</v>
      </c>
    </row>
    <row r="101" spans="1:30" customHeight="1" ht="15.75">
      <c r="A101" s="1" t="s">
        <v>67</v>
      </c>
      <c r="B101" s="19">
        <f>SUM(B94:B100)</f>
        <v>182380000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1650000</v>
      </c>
    </row>
    <row r="106" spans="1:30" customHeight="1" ht="15.75">
      <c r="A106" s="18" t="s">
        <v>71</v>
      </c>
      <c r="B106" s="37">
        <f>Calculations!G35</f>
        <v>450000</v>
      </c>
    </row>
    <row r="107" spans="1:30" customHeight="1" ht="15.75">
      <c r="A107" s="1" t="s">
        <v>72</v>
      </c>
      <c r="B107" s="19">
        <f>SUM(B104:B106)</f>
        <v>2100000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97</v>
      </c>
      <c r="G8" s="147"/>
      <c r="H8" s="147" t="s">
        <v>91</v>
      </c>
      <c r="I8" s="147" t="s">
        <v>93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400000</v>
      </c>
      <c r="D19" s="145">
        <v>0</v>
      </c>
      <c r="E19" s="20"/>
      <c r="F19" s="145" t="s">
        <v>92</v>
      </c>
      <c r="G19" s="20"/>
      <c r="H19" s="20"/>
      <c r="I19" s="145" t="s">
        <v>113</v>
      </c>
      <c r="J19" s="145">
        <v>10</v>
      </c>
      <c r="K19" s="145">
        <v>5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50000</v>
      </c>
    </row>
    <row r="31" spans="1:48">
      <c r="A31" s="5" t="s">
        <v>120</v>
      </c>
      <c r="B31" s="158">
        <v>10000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 t="s">
        <v>126</v>
      </c>
      <c r="B35" s="159">
        <v>1200000</v>
      </c>
      <c r="C35" s="145" t="s">
        <v>127</v>
      </c>
      <c r="D35" s="49">
        <f>IFERROR(VLOOKUP(C35,Parameters!$C$79:$D$90,2,0),"")</f>
        <v>3</v>
      </c>
    </row>
    <row r="36" spans="1:48">
      <c r="A36" s="144"/>
      <c r="B36" s="158">
        <v>0</v>
      </c>
      <c r="C36" s="150" t="s">
        <v>128</v>
      </c>
      <c r="D36" s="49">
        <f>IFERROR(VLOOKUP(C36,Parameters!$C$79:$D$90,2,0),"")</f>
        <v>12</v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92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92</v>
      </c>
    </row>
    <row r="45" spans="1:48">
      <c r="A45" s="56" t="s">
        <v>136</v>
      </c>
      <c r="B45" s="161">
        <v>1500000</v>
      </c>
    </row>
    <row r="46" spans="1:48" customHeight="1" ht="30">
      <c r="A46" s="57" t="s">
        <v>137</v>
      </c>
      <c r="B46" s="161">
        <v>0</v>
      </c>
    </row>
    <row r="47" spans="1:48" customHeight="1" ht="30">
      <c r="A47" s="57" t="s">
        <v>138</v>
      </c>
      <c r="B47" s="161">
        <v>200000</v>
      </c>
    </row>
    <row r="48" spans="1:48" customHeight="1" ht="30">
      <c r="A48" s="57" t="s">
        <v>139</v>
      </c>
      <c r="B48" s="161">
        <v>600000</v>
      </c>
    </row>
    <row r="49" spans="1:48" customHeight="1" ht="30">
      <c r="A49" s="57" t="s">
        <v>140</v>
      </c>
      <c r="B49" s="161">
        <v>80000</v>
      </c>
    </row>
    <row r="50" spans="1:48">
      <c r="A50" s="43"/>
      <c r="B50" s="36"/>
    </row>
    <row r="51" spans="1:48">
      <c r="A51" s="58" t="s">
        <v>141</v>
      </c>
      <c r="B51" s="161">
        <v>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1000000</v>
      </c>
      <c r="B56" s="159">
        <v>1650000</v>
      </c>
      <c r="C56" s="162" t="s">
        <v>149</v>
      </c>
      <c r="D56" s="163" t="s">
        <v>150</v>
      </c>
      <c r="E56" s="163" t="s">
        <v>92</v>
      </c>
      <c r="F56" s="163" t="s">
        <v>151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153</v>
      </c>
      <c r="C65" s="10" t="s">
        <v>154</v>
      </c>
    </row>
    <row r="66" spans="1:48">
      <c r="A66" s="142" t="s">
        <v>155</v>
      </c>
      <c r="B66" s="159">
        <v>596225</v>
      </c>
      <c r="C66" s="163">
        <v>566000</v>
      </c>
      <c r="D66" s="49">
        <f>INDEX(Parameters!$D$79:$D$90,MATCH(Inputs!A66,Parameters!$C$79:$C$90,0))</f>
        <v>6</v>
      </c>
    </row>
    <row r="67" spans="1:48">
      <c r="A67" s="143" t="s">
        <v>156</v>
      </c>
      <c r="B67" s="157">
        <v>582930</v>
      </c>
      <c r="C67" s="165">
        <v>536500</v>
      </c>
      <c r="D67" s="49">
        <f>INDEX(Parameters!$D$79:$D$90,MATCH(Inputs!A67,Parameters!$C$79:$C$90,0))</f>
        <v>5</v>
      </c>
    </row>
    <row r="68" spans="1:48">
      <c r="A68" s="143" t="s">
        <v>157</v>
      </c>
      <c r="B68" s="157">
        <v>798341</v>
      </c>
      <c r="C68" s="165">
        <v>734000</v>
      </c>
      <c r="D68" s="49">
        <f>INDEX(Parameters!$D$79:$D$90,MATCH(Inputs!A68,Parameters!$C$79:$C$90,0))</f>
        <v>4</v>
      </c>
    </row>
    <row r="69" spans="1:48">
      <c r="A69" s="143" t="s">
        <v>127</v>
      </c>
      <c r="B69" s="157">
        <v>1022740</v>
      </c>
      <c r="C69" s="165">
        <v>985400</v>
      </c>
      <c r="D69" s="49">
        <f>INDEX(Parameters!$D$79:$D$90,MATCH(Inputs!A69,Parameters!$C$79:$C$90,0))</f>
        <v>3</v>
      </c>
    </row>
    <row r="70" spans="1:48">
      <c r="A70" s="143" t="s">
        <v>158</v>
      </c>
      <c r="B70" s="157">
        <v>683207</v>
      </c>
      <c r="C70" s="165">
        <v>672300</v>
      </c>
      <c r="D70" s="49">
        <f>INDEX(Parameters!$D$79:$D$90,MATCH(Inputs!A70,Parameters!$C$79:$C$90,0))</f>
        <v>2</v>
      </c>
    </row>
    <row r="71" spans="1:48">
      <c r="A71" s="144" t="s">
        <v>159</v>
      </c>
      <c r="B71" s="158">
        <v>566035</v>
      </c>
      <c r="C71" s="167">
        <v>532800</v>
      </c>
      <c r="D71" s="49">
        <f>INDEX(Parameters!$D$79:$D$90,MATCH(Inputs!A71,Parameters!$C$79:$C$90,0))</f>
        <v>1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10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450000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43070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43252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5528.076935493325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400000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0.1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146000000</v>
      </c>
      <c r="R14" s="63">
        <f>IFERROR(D14*INDEX(Parameters!$A$22:$P$29,MATCH(Calculations!$A14,Parameters!$A$22:$A$29,0),MATCH(Parameters!$M$22,Parameters!$A$22:$P$22,0)),"")</f>
        <v>3413333.333333333</v>
      </c>
      <c r="S14" s="63">
        <f>IFERROR(D14*INDEX(Parameters!$A$22:$P$29,MATCH(Calculations!$A14,Parameters!$A$22:$A$29,0),MATCH(Parameters!$N$22,Parameters!$A$22:$P$22,0)),"")</f>
        <v>27443609.02255639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400000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70000000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1000000</v>
      </c>
      <c r="B23" s="75">
        <f>SUM(C23:D23)</f>
        <v>-136428.5714285714</v>
      </c>
      <c r="C23" s="75">
        <f>IF(Inputs!B56&gt;0,(Inputs!A56-Inputs!B56)/(DATE(YEAR(Inputs!$B$76),MONTH(Inputs!$B$76),DAY(Inputs!$B$76))-DATE(YEAR(Inputs!C56),MONTH(Inputs!C56),DAY(Inputs!C56)))*30,0)</f>
        <v>-154761.9047619048</v>
      </c>
      <c r="D23" s="75">
        <f>IF(Inputs!B56&gt;0,Inputs!A56*0.22/12,0)</f>
        <v>18333.33333333333</v>
      </c>
      <c r="E23" s="75">
        <f>IFERROR(ROUNDUP(Inputs!B56/C23,0),0)</f>
        <v>-11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Kawangware</v>
      </c>
    </row>
    <row r="33" spans="1:52">
      <c r="A33">
        <v>1</v>
      </c>
      <c r="B33" s="128">
        <f>G34</f>
        <v>42966</v>
      </c>
      <c r="C33" s="27">
        <f>IF(B33&lt;&gt;"",IF(COUNT($A$33:A33)&lt;=$G$39,0,$G$41)+IF(COUNT($A$33:A33)&lt;=$G$40,0,$G$42),0)</f>
        <v>26250</v>
      </c>
      <c r="D33" s="170">
        <f>IFERROR(DATE(YEAR(B33),MONTH(B33),1)," ")</f>
        <v>42948</v>
      </c>
      <c r="F33" t="s">
        <v>165</v>
      </c>
      <c r="G33" s="128">
        <f>IF(Inputs!B79="","",DATE(YEAR(Inputs!B79),MONTH(Inputs!B79),DAY(Inputs!B79)))</f>
        <v>42935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42997</v>
      </c>
      <c r="C34" s="27">
        <f>IF(B34&lt;&gt;"",IF(COUNT($A$33:A34)&lt;=$G$39,0,$G$41)+IF(COUNT($A$33:A34)&lt;=$G$40,0,$G$42),0)</f>
        <v>26250</v>
      </c>
      <c r="D34" s="170">
        <f>IFERROR(DATE(YEAR(B34),MONTH(B34),1)," ")</f>
        <v>42979</v>
      </c>
      <c r="F34" t="s">
        <v>166</v>
      </c>
      <c r="G34" s="128">
        <f>IF(Inputs!B80="","",DATE(YEAR(Inputs!B80),MONTH(Inputs!B80),DAY(Inputs!B80)))</f>
        <v>42966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43027</v>
      </c>
      <c r="C35" s="27">
        <f>IF(B35&lt;&gt;"",IF(COUNT($A$33:A35)&lt;=$G$39,0,$G$41)+IF(COUNT($A$33:A35)&lt;=$G$40,0,$G$42),0)</f>
        <v>26250</v>
      </c>
      <c r="D35" s="170">
        <f>IFERROR(DATE(YEAR(B35),MONTH(B35),1)," ")</f>
        <v>43009</v>
      </c>
      <c r="F35" t="s">
        <v>168</v>
      </c>
      <c r="G35" s="27">
        <f>Inputs!B81</f>
        <v>450000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43058</v>
      </c>
      <c r="C36" s="27">
        <f>IF(B36&lt;&gt;"",IF(COUNT($A$33:A36)&lt;=$G$39,0,$G$41)+IF(COUNT($A$33:A36)&lt;=$G$40,0,$G$42),0)</f>
        <v>26250</v>
      </c>
      <c r="D36" s="170">
        <f>IFERROR(DATE(YEAR(B36),MONTH(B36),1)," ")</f>
        <v>43040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43088</v>
      </c>
      <c r="C37" s="27">
        <f>IF(B37&lt;&gt;"",IF(COUNT($A$33:A37)&lt;=$G$39,0,$G$41)+IF(COUNT($A$33:A37)&lt;=$G$40,0,$G$42),0)</f>
        <v>26250</v>
      </c>
      <c r="D37" s="170">
        <f>IFERROR(DATE(YEAR(B37),MONTH(B37),1)," ")</f>
        <v>43070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43119</v>
      </c>
      <c r="C38" s="27">
        <f>IF(B38&lt;&gt;"",IF(COUNT($A$33:A38)&lt;=$G$39,0,$G$41)+IF(COUNT($A$33:A38)&lt;=$G$40,0,$G$42),0)</f>
        <v>26250</v>
      </c>
      <c r="D38" s="170">
        <f>IFERROR(DATE(YEAR(B38),MONTH(B38),1)," ")</f>
        <v>43101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43150</v>
      </c>
      <c r="C39" s="27">
        <f>IF(B39&lt;&gt;"",IF(COUNT($A$33:A39)&lt;=$G$39,0,$G$41)+IF(COUNT($A$33:A39)&lt;=$G$40,0,$G$42),0)</f>
        <v>26250</v>
      </c>
      <c r="D39" s="170">
        <f>IFERROR(DATE(YEAR(B39),MONTH(B39),1)," ")</f>
        <v>43132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43178</v>
      </c>
      <c r="C40" s="27">
        <f>IF(B40&lt;&gt;"",IF(COUNT($A$33:A40)&lt;=$G$39,0,$G$41)+IF(COUNT($A$33:A40)&lt;=$G$40,0,$G$42),0)</f>
        <v>26250</v>
      </c>
      <c r="D40" s="170">
        <f>IFERROR(DATE(YEAR(B40),MONTH(B40),1)," ")</f>
        <v>43160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43209</v>
      </c>
      <c r="C41" s="27">
        <f>IF(B41&lt;&gt;"",IF(COUNT($A$33:A41)&lt;=$G$39,0,$G$41)+IF(COUNT($A$33:A41)&lt;=$G$40,0,$G$42),0)</f>
        <v>26250</v>
      </c>
      <c r="D41" s="170">
        <f>IFERROR(DATE(YEAR(B41),MONTH(B41),1)," ")</f>
        <v>43191</v>
      </c>
      <c r="F41" t="s">
        <v>232</v>
      </c>
      <c r="G41" s="73">
        <f>IFERROR(G35/(G38-G39),"")</f>
        <v>18750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43239</v>
      </c>
      <c r="C42" s="27">
        <f>IF(B42&lt;&gt;"",IF(COUNT($A$33:A42)&lt;=$G$39,0,$G$41)+IF(COUNT($A$33:A42)&lt;=$G$40,0,$G$42),0)</f>
        <v>26250</v>
      </c>
      <c r="D42" s="170">
        <f>IFERROR(DATE(YEAR(B42),MONTH(B42),1)," ")</f>
        <v>43221</v>
      </c>
      <c r="F42" t="s">
        <v>233</v>
      </c>
      <c r="G42" s="73">
        <f>IFERROR(G35*G36*IF(G37="Monthly",G38/12,IF(G37="Fortnightly",G38/(365/14),G38/(365/28)))/(G38-G40),"")</f>
        <v>7500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43270</v>
      </c>
      <c r="C43" s="27">
        <f>IF(B43&lt;&gt;"",IF(COUNT($A$33:A43)&lt;=$G$39,0,$G$41)+IF(COUNT($A$33:A43)&lt;=$G$40,0,$G$42),0)</f>
        <v>26250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43300</v>
      </c>
      <c r="C44" s="27">
        <f>IF(B44&lt;&gt;"",IF(COUNT($A$33:A44)&lt;=$G$39,0,$G$41)+IF(COUNT($A$33:A44)&lt;=$G$40,0,$G$42),0)</f>
        <v>26250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43331</v>
      </c>
      <c r="C45" s="27">
        <f>IF(B45&lt;&gt;"",IF(COUNT($A$33:A45)&lt;=$G$39,0,$G$41)+IF(COUNT($A$33:A45)&lt;=$G$40,0,$G$42),0)</f>
        <v>26250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43362</v>
      </c>
      <c r="C46" s="27">
        <f>IF(B46&lt;&gt;"",IF(COUNT($A$33:A46)&lt;=$G$39,0,$G$41)+IF(COUNT($A$33:A46)&lt;=$G$40,0,$G$42),0)</f>
        <v>26250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43392</v>
      </c>
      <c r="C47" s="27">
        <f>IF(B47&lt;&gt;"",IF(COUNT($A$33:A47)&lt;=$G$39,0,$G$41)+IF(COUNT($A$33:A47)&lt;=$G$40,0,$G$42),0)</f>
        <v>26250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43423</v>
      </c>
      <c r="C48" s="27">
        <f>IF(B48&lt;&gt;"",IF(COUNT($A$33:A48)&lt;=$G$39,0,$G$41)+IF(COUNT($A$33:A48)&lt;=$G$40,0,$G$42),0)</f>
        <v>26250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43453</v>
      </c>
      <c r="C49" s="27">
        <f>IF(B49&lt;&gt;"",IF(COUNT($A$33:A49)&lt;=$G$39,0,$G$41)+IF(COUNT($A$33:A49)&lt;=$G$40,0,$G$42),0)</f>
        <v>26250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43484</v>
      </c>
      <c r="C50" s="27">
        <f>IF(B50&lt;&gt;"",IF(COUNT($A$33:A50)&lt;=$G$39,0,$G$41)+IF(COUNT($A$33:A50)&lt;=$G$40,0,$G$42),0)</f>
        <v>26250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43515</v>
      </c>
      <c r="C51" s="27">
        <f>IF(B51&lt;&gt;"",IF(COUNT($A$33:A51)&lt;=$G$39,0,$G$41)+IF(COUNT($A$33:A51)&lt;=$G$40,0,$G$42),0)</f>
        <v>26250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43543</v>
      </c>
      <c r="C52" s="27">
        <f>IF(B52&lt;&gt;"",IF(COUNT($A$33:A52)&lt;=$G$39,0,$G$41)+IF(COUNT($A$33:A52)&lt;=$G$40,0,$G$42),0)</f>
        <v>26250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43574</v>
      </c>
      <c r="C53" s="27">
        <f>IF(B53&lt;&gt;"",IF(COUNT($A$33:A53)&lt;=$G$39,0,$G$41)+IF(COUNT($A$33:A53)&lt;=$G$40,0,$G$42),0)</f>
        <v>26250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43604</v>
      </c>
      <c r="C54" s="27">
        <f>IF(B54&lt;&gt;"",IF(COUNT($A$33:A54)&lt;=$G$39,0,$G$41)+IF(COUNT($A$33:A54)&lt;=$G$40,0,$G$42),0)</f>
        <v>26250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43635</v>
      </c>
      <c r="C55" s="27">
        <f>IF(B55&lt;&gt;"",IF(COUNT($A$33:A55)&lt;=$G$39,0,$G$41)+IF(COUNT($A$33:A55)&lt;=$G$40,0,$G$42),0)</f>
        <v>26250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43665</v>
      </c>
      <c r="C56" s="27">
        <f>IF(B56&lt;&gt;"",IF(COUNT($A$33:A56)&lt;=$G$39,0,$G$41)+IF(COUNT($A$33:A56)&lt;=$G$40,0,$G$42),0)</f>
        <v>26250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112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100</v>
      </c>
      <c r="B41" s="191" t="s">
        <v>91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318</v>
      </c>
      <c r="H52" s="12" t="s">
        <v>319</v>
      </c>
      <c r="I52" s="12" t="s">
        <v>134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91</v>
      </c>
      <c r="F77" s="12" t="s">
        <v>91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359</v>
      </c>
      <c r="H78" s="12" t="s">
        <v>134</v>
      </c>
      <c r="I78" s="12" t="s">
        <v>360</v>
      </c>
      <c r="J78" s="70" t="s">
        <v>361</v>
      </c>
      <c r="K78" s="12" t="s">
        <v>91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362</v>
      </c>
      <c r="F79" s="12" t="s">
        <v>363</v>
      </c>
      <c r="G79" s="12" t="s">
        <v>113</v>
      </c>
      <c r="I79" s="12" t="s">
        <v>171</v>
      </c>
      <c r="J79" s="70" t="s">
        <v>96</v>
      </c>
      <c r="K79" s="12" t="s">
        <v>91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97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127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128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