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<sst xmlns="http://schemas.openxmlformats.org/spreadsheetml/2006/main" uniqueCount="365">
  <si>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</si>
  <si>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</si>
  <si>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</si>
  <si>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</si>
  <si>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</si>
  <si>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</si>
  <si>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</si>
  <si>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</si>
  <si>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</si>
  <si>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</si>
  <si>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</si>
  <si>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</si>
  <si>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</si>
  <si>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</si>
  <si>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</si>
  <si>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</si>
  <si>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</si>
  <si>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</si>
  <si>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</si>
  <si>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</si>
  <si>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</si>
  <si>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</si>
  <si>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</si>
  <si>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</si>
  <si>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</si>
  <si>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</si>
  <si>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</si>
  <si>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</si>
  <si>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</si>
  <si>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</si>
  <si>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</si>
  <si>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</si>
  <si>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</si>
  <si>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</si>
  <si>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</si>
  <si>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</si>
  <si>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</si>
  <si>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</si>
  <si>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</si>
  <si>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</si>
  <si>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</si>
  <si>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</si>
  <si>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</si>
  <si>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</si>
  <si>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</si>
  <si>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</si>
  <si>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</si>
  <si>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</si>
  <si>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</si>
  <si>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</si>
  <si>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</si>
  <si>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</si>
  <si>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</si>
  <si>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</si>
  <si>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</si>
  <si>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</si>
  <si>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</si>
  <si>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</si>
  <si>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</si>
  <si>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</si>
  <si>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</si>
  <si>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</si>
  <si>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</si>
  <si>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</si>
  <si>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</si>
  <si>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</si>
  <si>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</si>
  <si>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</si>
  <si>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</si>
  <si>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</si>
  <si>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</si>
  <si>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</si>
  <si>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</si>
  <si>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</si>
  <si>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</si>
  <si>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</si>
  <si>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</si>
  <si>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</si>
  <si>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</si>
  <si>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</si>
  <si>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</si>
  <si>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</si>
  <si>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</si>
  <si>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</si>
  <si>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</si>
  <si>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</si>
  <si>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</si>
  <si>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</si>
  <si>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</si>
  <si>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</si>
  <si>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</si>
  <si>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both manure and inorganic</t>
  </si>
  <si>
    <t>Yes</t>
  </si>
  <si>
    <t>Yes using a diesel pump</t>
  </si>
  <si>
    <t>April</t>
  </si>
  <si>
    <t>Maize</t>
  </si>
  <si>
    <t>June</t>
  </si>
  <si>
    <t>Mangoes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</si>
  <si>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</si>
  <si>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</si>
  <si>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</si>
  <si>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</si>
  <si>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</si>
  <si>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</si>
  <si>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</si>
  <si>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</si>
  <si>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</si>
  <si>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</si>
  <si>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</si>
  <si>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</si>
  <si>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</si>
  <si>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</si>
  <si>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Sometimes</t>
  </si>
  <si>
    <t>Goat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</si>
  <si>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</si>
  <si>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</si>
  <si>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</si>
  <si>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</si>
  <si>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</si>
  <si>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GROCERY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</si>
  <si>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</si>
  <si>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</si>
  <si>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</si>
  <si>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</si>
  <si>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</si>
  <si>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</si>
  <si>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</si>
  <si>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</si>
  <si>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</si>
  <si>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</si>
  <si>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</si>
  <si>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</si>
  <si>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</si>
  <si>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</si>
  <si>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</si>
  <si>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</si>
  <si>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</si>
  <si>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</si>
  <si>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</si>
  <si>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</si>
  <si>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</si>
  <si>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</si>
  <si>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</si>
  <si>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</si>
  <si>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</si>
  <si>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</si>
  <si>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</si>
  <si>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</si>
  <si>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</si>
  <si>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</si>
  <si>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</si>
  <si>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</si>
  <si>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February</t>
  </si>
  <si>
    <t>March</t>
  </si>
  <si>
    <t>May</t>
  </si>
  <si>
    <t>Loan info</t>
  </si>
  <si>
    <t>Branch ID</t>
  </si>
  <si>
    <t>Submission date</t>
  </si>
  <si>
    <t>2017/7/19</t>
  </si>
  <si>
    <t>Loan terms</t>
  </si>
  <si>
    <t>Expected disbursement date</t>
  </si>
  <si>
    <t>Expected first repayment date</t>
  </si>
  <si>
    <t>2017/8/19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</si>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</sst>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Mangoes,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Goat, Sheep, Chicken: sale of ex layers</v>
      </c>
    </row>
    <row r="8" spans="1:7">
      <c r="B8" s="1" t="s">
        <v>4</v>
      </c>
      <c r="C8" t="str">
        <f>IF(Inputs!B29="","None",Inputs!B29)</f>
        <v>GROCERY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0.1822781297489835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0.0328125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532844.1229037845</v>
      </c>
    </row>
    <row r="18" spans="1:7">
      <c r="B18" s="1" t="s">
        <v>12</v>
      </c>
      <c r="C18" s="36">
        <f>MIN(Output!B6:M6)</f>
        <v>12581.47908742999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71820.11266320455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25490.47908742999</v>
      </c>
      <c r="C6" s="51">
        <f>C30-C88</f>
        <v>37986.67447649005</v>
      </c>
      <c r="D6" s="51">
        <f>D30-D88</f>
        <v>46473.77465784895</v>
      </c>
      <c r="E6" s="51">
        <f>E30-E88</f>
        <v>46598.75118533325</v>
      </c>
      <c r="F6" s="51">
        <f>F30-F88</f>
        <v>71820.11266320455</v>
      </c>
      <c r="G6" s="51">
        <f>G30-G88</f>
        <v>35430.37736426709</v>
      </c>
      <c r="H6" s="51">
        <f>H30-H88</f>
        <v>34299.95952344197</v>
      </c>
      <c r="I6" s="51">
        <f>I30-I88</f>
        <v>66796.15491250202</v>
      </c>
      <c r="J6" s="51">
        <f>J30-J88</f>
        <v>60381.79969592369</v>
      </c>
      <c r="K6" s="51">
        <f>K30-K88</f>
        <v>32105.3208254708</v>
      </c>
      <c r="L6" s="51">
        <f>L30-L88</f>
        <v>62879.23942444217</v>
      </c>
      <c r="M6" s="51">
        <f>M30-M88</f>
        <v>12581.47908742999</v>
      </c>
      <c r="N6" s="51">
        <f>N30-N88</f>
        <v>25490.47908742999</v>
      </c>
      <c r="O6" s="51">
        <f>O30-O88</f>
        <v>37986.67447649005</v>
      </c>
      <c r="P6" s="51">
        <f>P30-P88</f>
        <v>46473.77465784895</v>
      </c>
      <c r="Q6" s="51">
        <f>Q30-Q88</f>
        <v>46598.75118533325</v>
      </c>
      <c r="R6" s="51">
        <f>R30-R88</f>
        <v>71820.11266320455</v>
      </c>
      <c r="S6" s="51">
        <f>S30-S88</f>
        <v>35430.37736426709</v>
      </c>
      <c r="T6" s="51">
        <f>T30-T88</f>
        <v>249924.959523442</v>
      </c>
      <c r="U6" s="51">
        <f>U30-U88</f>
        <v>66796.15491250202</v>
      </c>
      <c r="V6" s="51">
        <f>V30-V88</f>
        <v>60381.79969592369</v>
      </c>
      <c r="W6" s="51">
        <f>W30-W88</f>
        <v>32105.3208254708</v>
      </c>
      <c r="X6" s="51">
        <f>X30-X88</f>
        <v>62879.23942444217</v>
      </c>
      <c r="Y6" s="51">
        <f>Y30-Y88</f>
        <v>12581.47908742999</v>
      </c>
      <c r="Z6" s="51">
        <f>SUMIF($B$13:$Y$13,"Yes",B6:Y6)</f>
        <v>558334.6019912146</v>
      </c>
      <c r="AA6" s="51">
        <f>AA30-AA88</f>
        <v>532844.1229037843</v>
      </c>
      <c r="AB6" s="51">
        <f>AB30-AB88</f>
        <v>1281313.245807568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5000</v>
      </c>
      <c r="I7" s="80">
        <f>IF(ISERROR(VLOOKUP(MONTH(I5),Inputs!$D$66:$D$71,1,0)),"",INDEX(Inputs!$B$66:$B$71,MATCH(MONTH(Output!I5),Inputs!$D$66:$D$71,0))-INDEX(Inputs!$C$66:$C$71,MATCH(MONTH(Output!I5),Inputs!$D$66:$D$71,0)))</f>
        <v>592</v>
      </c>
      <c r="J7" s="80">
        <f>IF(ISERROR(VLOOKUP(MONTH(J5),Inputs!$D$66:$D$71,1,0)),"",INDEX(Inputs!$B$66:$B$71,MATCH(MONTH(Output!J5),Inputs!$D$66:$D$71,0))-INDEX(Inputs!$C$66:$C$71,MATCH(MONTH(Output!J5),Inputs!$D$66:$D$71,0)))</f>
        <v>1348</v>
      </c>
      <c r="K7" s="80">
        <f>IF(ISERROR(VLOOKUP(MONTH(K5),Inputs!$D$66:$D$71,1,0)),"",INDEX(Inputs!$B$66:$B$71,MATCH(MONTH(Output!K5),Inputs!$D$66:$D$71,0))-INDEX(Inputs!$C$66:$C$71,MATCH(MONTH(Output!K5),Inputs!$D$66:$D$71,0)))</f>
        <v>3445</v>
      </c>
      <c r="L7" s="80">
        <f>IF(ISERROR(VLOOKUP(MONTH(L5),Inputs!$D$66:$D$71,1,0)),"",INDEX(Inputs!$B$66:$B$71,MATCH(MONTH(Output!L5),Inputs!$D$66:$D$71,0))-INDEX(Inputs!$C$66:$C$71,MATCH(MONTH(Output!L5),Inputs!$D$66:$D$71,0)))</f>
        <v>1015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5000</v>
      </c>
      <c r="U7" s="80">
        <f>IF(ISERROR(VLOOKUP(MONTH(U5),Inputs!$D$66:$D$71,1,0)),"",INDEX(Inputs!$B$66:$B$71,MATCH(MONTH(Output!U5),Inputs!$D$66:$D$71,0))-INDEX(Inputs!$C$66:$C$71,MATCH(MONTH(Output!U5),Inputs!$D$66:$D$71,0)))</f>
        <v>592</v>
      </c>
      <c r="V7" s="80">
        <f>IF(ISERROR(VLOOKUP(MONTH(V5),Inputs!$D$66:$D$71,1,0)),"",INDEX(Inputs!$B$66:$B$71,MATCH(MONTH(Output!V5),Inputs!$D$66:$D$71,0))-INDEX(Inputs!$C$66:$C$71,MATCH(MONTH(Output!V5),Inputs!$D$66:$D$71,0)))</f>
        <v>1348</v>
      </c>
      <c r="W7" s="80">
        <f>IF(ISERROR(VLOOKUP(MONTH(W5),Inputs!$D$66:$D$71,1,0)),"",INDEX(Inputs!$B$66:$B$71,MATCH(MONTH(Output!W5),Inputs!$D$66:$D$71,0))-INDEX(Inputs!$C$66:$C$71,MATCH(MONTH(Output!W5),Inputs!$D$66:$D$71,0)))</f>
        <v>3445</v>
      </c>
      <c r="X7" s="80">
        <f>IF(ISERROR(VLOOKUP(MONTH(X5),Inputs!$D$66:$D$71,1,0)),"",INDEX(Inputs!$B$66:$B$71,MATCH(MONTH(Output!X5),Inputs!$D$66:$D$71,0))-INDEX(Inputs!$C$66:$C$71,MATCH(MONTH(Output!X5),Inputs!$D$66:$D$71,0)))</f>
        <v>1015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125490.47908743</v>
      </c>
      <c r="C11" s="80">
        <f>C6+C9-C10</f>
        <v>27986.67447649005</v>
      </c>
      <c r="D11" s="80">
        <f>D6+D9-D10</f>
        <v>36473.77465784895</v>
      </c>
      <c r="E11" s="80">
        <f>E6+E9-E10</f>
        <v>36598.75118533325</v>
      </c>
      <c r="F11" s="80">
        <f>F6+F9-F10</f>
        <v>61820.11266320455</v>
      </c>
      <c r="G11" s="80">
        <f>G6+G9-G10</f>
        <v>25430.37736426709</v>
      </c>
      <c r="H11" s="80">
        <f>H6+H9-H10</f>
        <v>24299.95952344197</v>
      </c>
      <c r="I11" s="80">
        <f>I6+I9-I10</f>
        <v>56796.15491250202</v>
      </c>
      <c r="J11" s="80">
        <f>J6+J9-J10</f>
        <v>50381.79969592369</v>
      </c>
      <c r="K11" s="80">
        <f>K6+K9-K10</f>
        <v>22105.3208254708</v>
      </c>
      <c r="L11" s="80">
        <f>L6+L9-L10</f>
        <v>52879.23942444217</v>
      </c>
      <c r="M11" s="80">
        <f>M6+M9-M10</f>
        <v>2581.479087429994</v>
      </c>
      <c r="N11" s="80">
        <f>N6+N9-N10</f>
        <v>15490.47908742999</v>
      </c>
      <c r="O11" s="80">
        <f>O6+O9-O10</f>
        <v>37986.67447649005</v>
      </c>
      <c r="P11" s="80">
        <f>P6+P9-P10</f>
        <v>46473.77465784895</v>
      </c>
      <c r="Q11" s="80">
        <f>Q6+Q9-Q10</f>
        <v>46598.75118533325</v>
      </c>
      <c r="R11" s="80">
        <f>R6+R9-R10</f>
        <v>71820.11266320455</v>
      </c>
      <c r="S11" s="80">
        <f>S6+S9-S10</f>
        <v>35430.37736426709</v>
      </c>
      <c r="T11" s="80">
        <f>T6+T9-T10</f>
        <v>249924.959523442</v>
      </c>
      <c r="U11" s="80">
        <f>U6+U9-U10</f>
        <v>66796.15491250202</v>
      </c>
      <c r="V11" s="80">
        <f>V6+V9-V10</f>
        <v>60381.79969592369</v>
      </c>
      <c r="W11" s="80">
        <f>W6+W9-W10</f>
        <v>32105.3208254708</v>
      </c>
      <c r="X11" s="80">
        <f>X6+X9-X10</f>
        <v>62879.23942444217</v>
      </c>
      <c r="Y11" s="80">
        <f>Y6+Y9-Y10</f>
        <v>12581.47908742999</v>
      </c>
      <c r="Z11" s="85">
        <f>SUMIF($B$13:$Y$13,"Yes",B11:Y11)</f>
        <v>538334.6019912146</v>
      </c>
      <c r="AA11" s="80">
        <f>SUM(B11:M11)</f>
        <v>522844.1229037845</v>
      </c>
      <c r="AB11" s="46">
        <f>SUM(B11:Y11)</f>
        <v>1261313.245807569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0.06117062709982878</v>
      </c>
      <c r="D12" s="82">
        <f>IF(D13="Yes",IF(SUM($B$10:D10)/(SUM($B$6:D6)+SUM($B$9:D9))&lt;0,999.99,SUM($B$10:D10)/(SUM($B$6:D6)+SUM($B$9:D9))),"")</f>
        <v>0.09526035521440614</v>
      </c>
      <c r="E12" s="82">
        <f>IF(E13="Yes",IF(SUM($B$10:E10)/(SUM($B$6:E6)+SUM($B$9:E9))&lt;0,999.99,SUM($B$10:E10)/(SUM($B$6:E6)+SUM($B$9:E9))),"")</f>
        <v>0.1169364158603953</v>
      </c>
      <c r="F12" s="82">
        <f>IF(F13="Yes",IF(SUM($B$10:F10)/(SUM($B$6:F6)+SUM($B$9:F9))&lt;0,999.99,SUM($B$10:F10)/(SUM($B$6:F6)+SUM($B$9:F9))),"")</f>
        <v>0.1218138847297977</v>
      </c>
      <c r="G12" s="82">
        <f>IF(G13="Yes",IF(SUM($B$10:G10)/(SUM($B$6:G6)+SUM($B$9:G9))&lt;0,999.99,SUM($B$10:G10)/(SUM($B$6:G6)+SUM($B$9:G9))),"")</f>
        <v>0.1374380888214293</v>
      </c>
      <c r="H12" s="82">
        <f>IF(H13="Yes",IF(SUM($B$10:H10)/(SUM($B$6:H6)+SUM($B$9:H9))&lt;0,999.99,SUM($B$10:H10)/(SUM($B$6:H6)+SUM($B$9:H9))),"")</f>
        <v>0.1507158517055584</v>
      </c>
      <c r="I12" s="82">
        <f>IF(I13="Yes",IF(SUM($B$10:I10)/(SUM($B$6:I6)+SUM($B$9:I9))&lt;0,999.99,SUM($B$10:I10)/(SUM($B$6:I6)+SUM($B$9:I9))),"")</f>
        <v>0.1505712186322752</v>
      </c>
      <c r="J12" s="82">
        <f>IF(J13="Yes",IF(SUM($B$10:J10)/(SUM($B$6:J6)+SUM($B$9:J9))&lt;0,999.99,SUM($B$10:J10)/(SUM($B$6:J6)+SUM($B$9:J9))),"")</f>
        <v>0.1523002815134223</v>
      </c>
      <c r="K12" s="82">
        <f>IF(K13="Yes",IF(SUM($B$10:K10)/(SUM($B$6:K6)+SUM($B$9:K9))&lt;0,999.99,SUM($B$10:K10)/(SUM($B$6:K6)+SUM($B$9:K9))),"")</f>
        <v>0.1614687471690822</v>
      </c>
      <c r="L12" s="82">
        <f>IF(L13="Yes",IF(SUM($B$10:L10)/(SUM($B$6:L6)+SUM($B$9:L9))&lt;0,999.99,SUM($B$10:L10)/(SUM($B$6:L6)+SUM($B$9:L9))),"")</f>
        <v>0.1612220258578199</v>
      </c>
      <c r="M12" s="82">
        <f>IF(M13="Yes",IF(SUM($B$10:M10)/(SUM($B$6:M6)+SUM($B$9:M9))&lt;0,999.99,SUM($B$10:M10)/(SUM($B$6:M6)+SUM($B$9:M9))),"")</f>
        <v>0.1738184744376998</v>
      </c>
      <c r="N12" s="82">
        <f>IF(N13="Yes",IF(SUM($B$10:N10)/(SUM($B$6:N6)+SUM($B$9:N9))&lt;0,999.99,SUM($B$10:N10)/(SUM($B$6:N6)+SUM($B$9:N9))),"")</f>
        <v>0.1822781297489835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13893.64044621045</v>
      </c>
      <c r="D18" s="36">
        <f>P18</f>
        <v>15283.0044908315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13893.64044621045</v>
      </c>
      <c r="J18" s="36">
        <f>V18</f>
        <v>15283.0044908315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13893.64044621045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15283.0044908315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13893.64044621045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15283.0044908315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58353.28987408389</v>
      </c>
      <c r="AA18" s="36">
        <f>SUM(B18:M18)</f>
        <v>58353.28987408389</v>
      </c>
      <c r="AB18" s="36">
        <f>SUM(B18:Y18)</f>
        <v>116706.5797481678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28417.30028084349</v>
      </c>
      <c r="F19" s="36">
        <f>R19</f>
        <v>34100.76033701219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28417.30028084349</v>
      </c>
      <c r="L19" s="36">
        <f>X19</f>
        <v>34100.76033701219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28417.30028084349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34100.76033701219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28417.30028084349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34100.76033701219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125036.1212357114</v>
      </c>
      <c r="AA19" s="36">
        <f>SUM(B19:M19)</f>
        <v>125036.1212357114</v>
      </c>
      <c r="AB19" s="36">
        <f>SUM(B19:Y19)</f>
        <v>250072.2424714227</v>
      </c>
      <c r="AC19" s="43"/>
      <c r="AD19" s="43"/>
    </row>
    <row r="20" spans="1:30">
      <c r="A20" t="str">
        <f>IF(Calculations!A6&lt;&gt;Parameters!$A$18,IF(Calculations!A6=0,"",Calculations!A6),Inputs!B9)</f>
        <v>Mangoes</v>
      </c>
      <c r="B20" s="36">
        <f>N20</f>
        <v>993.4303598624825</v>
      </c>
      <c r="C20" s="36">
        <f>O20</f>
        <v>993.4303598624825</v>
      </c>
      <c r="D20" s="36">
        <f>P20</f>
        <v>3973.72143944993</v>
      </c>
      <c r="E20" s="36">
        <f>Q20</f>
        <v>5960.582159174895</v>
      </c>
      <c r="F20" s="36">
        <f>R20</f>
        <v>9934.303598624827</v>
      </c>
      <c r="G20" s="36">
        <f>S20</f>
        <v>23842.32863669958</v>
      </c>
      <c r="H20" s="36">
        <f>T20</f>
        <v>29802.91079587448</v>
      </c>
      <c r="I20" s="36">
        <f>U20</f>
        <v>29802.91079587448</v>
      </c>
      <c r="J20" s="36">
        <f>V20</f>
        <v>17881.74647752468</v>
      </c>
      <c r="K20" s="36">
        <f>W20</f>
        <v>4967.151799312413</v>
      </c>
      <c r="L20" s="36">
        <f>X20</f>
        <v>993.4303598624825</v>
      </c>
      <c r="M20" s="36">
        <f>Y20</f>
        <v>993.4303598624825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993.4303598624825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993.4303598624825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3973.72143944993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5960.582159174895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9934.303598624827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23842.32863669958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29802.91079587448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29802.91079587448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17881.74647752468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4967.151799312413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993.4303598624825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993.4303598624825</v>
      </c>
      <c r="Z20" s="36">
        <f>SUMIF($B$13:$Y$13,"Yes",B20:Y20)</f>
        <v>131132.8075018477</v>
      </c>
      <c r="AA20" s="36">
        <f>SUM(B20:M20)</f>
        <v>130139.3771419852</v>
      </c>
      <c r="AB20" s="36">
        <f>SUM(B20:Y20)</f>
        <v>260278.7542839705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81000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68999.99999999999</v>
      </c>
      <c r="C24" s="36">
        <f>IFERROR(Calculations!$P14/12,"")</f>
        <v>68999.99999999999</v>
      </c>
      <c r="D24" s="36">
        <f>IFERROR(Calculations!$P14/12,"")</f>
        <v>68999.99999999999</v>
      </c>
      <c r="E24" s="36">
        <f>IFERROR(Calculations!$P14/12,"")</f>
        <v>68999.99999999999</v>
      </c>
      <c r="F24" s="36">
        <f>IFERROR(Calculations!$P14/12,"")</f>
        <v>68999.99999999999</v>
      </c>
      <c r="G24" s="36">
        <f>IFERROR(Calculations!$P14/12,"")</f>
        <v>68999.99999999999</v>
      </c>
      <c r="H24" s="36">
        <f>IFERROR(Calculations!$P14/12,"")</f>
        <v>68999.99999999999</v>
      </c>
      <c r="I24" s="36">
        <f>IFERROR(Calculations!$P14/12,"")</f>
        <v>68999.99999999999</v>
      </c>
      <c r="J24" s="36">
        <f>IFERROR(Calculations!$P14/12,"")</f>
        <v>68999.99999999999</v>
      </c>
      <c r="K24" s="36">
        <f>IFERROR(Calculations!$P14/12,"")</f>
        <v>68999.99999999999</v>
      </c>
      <c r="L24" s="36">
        <f>IFERROR(Calculations!$P14/12,"")</f>
        <v>68999.99999999999</v>
      </c>
      <c r="M24" s="36">
        <f>IFERROR(Calculations!$P14/12,"")</f>
        <v>68999.99999999999</v>
      </c>
      <c r="N24" s="36">
        <f>IFERROR(Calculations!$P14/12,"")</f>
        <v>68999.99999999999</v>
      </c>
      <c r="O24" s="36">
        <f>IFERROR(Calculations!$P14/12,"")</f>
        <v>68999.99999999999</v>
      </c>
      <c r="P24" s="36">
        <f>IFERROR(Calculations!$P14/12,"")</f>
        <v>68999.99999999999</v>
      </c>
      <c r="Q24" s="36">
        <f>IFERROR(Calculations!$P14/12,"")</f>
        <v>68999.99999999999</v>
      </c>
      <c r="R24" s="36">
        <f>IFERROR(Calculations!$P14/12,"")</f>
        <v>68999.99999999999</v>
      </c>
      <c r="S24" s="36">
        <f>IFERROR(Calculations!$P14/12,"")</f>
        <v>68999.99999999999</v>
      </c>
      <c r="T24" s="36">
        <f>IFERROR(Calculations!$P14/12,"")</f>
        <v>68999.99999999999</v>
      </c>
      <c r="U24" s="36">
        <f>IFERROR(Calculations!$P14/12,"")</f>
        <v>68999.99999999999</v>
      </c>
      <c r="V24" s="36">
        <f>IFERROR(Calculations!$P14/12,"")</f>
        <v>68999.99999999999</v>
      </c>
      <c r="W24" s="36">
        <f>IFERROR(Calculations!$P14/12,"")</f>
        <v>68999.99999999999</v>
      </c>
      <c r="X24" s="36">
        <f>IFERROR(Calculations!$P14/12,"")</f>
        <v>68999.99999999999</v>
      </c>
      <c r="Y24" s="36">
        <f>IFERROR(Calculations!$P14/12,"")</f>
        <v>68999.99999999999</v>
      </c>
      <c r="Z24" s="36">
        <f>SUMIF($B$13:$Y$13,"Yes",B24:Y24)</f>
        <v>896999.9999999999</v>
      </c>
      <c r="AA24" s="36">
        <f>SUM(B24:M24)</f>
        <v>827999.9999999999</v>
      </c>
      <c r="AB24" s="46">
        <f>SUM(B24:Y24)</f>
        <v>1656000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7666.666666666667</v>
      </c>
      <c r="C25" s="36">
        <f>IFERROR(Calculations!$P15/12,"")</f>
        <v>7666.666666666667</v>
      </c>
      <c r="D25" s="36">
        <f>IFERROR(Calculations!$P15/12,"")</f>
        <v>7666.666666666667</v>
      </c>
      <c r="E25" s="36">
        <f>IFERROR(Calculations!$P15/12,"")</f>
        <v>7666.666666666667</v>
      </c>
      <c r="F25" s="36">
        <f>IFERROR(Calculations!$P15/12,"")</f>
        <v>7666.666666666667</v>
      </c>
      <c r="G25" s="36">
        <f>IFERROR(Calculations!$P15/12,"")</f>
        <v>7666.666666666667</v>
      </c>
      <c r="H25" s="36">
        <f>IFERROR(Calculations!$P15/12,"")</f>
        <v>7666.666666666667</v>
      </c>
      <c r="I25" s="36">
        <f>IFERROR(Calculations!$P15/12,"")</f>
        <v>7666.666666666667</v>
      </c>
      <c r="J25" s="36">
        <f>IFERROR(Calculations!$P15/12,"")</f>
        <v>7666.666666666667</v>
      </c>
      <c r="K25" s="36">
        <f>IFERROR(Calculations!$P15/12,"")</f>
        <v>7666.666666666667</v>
      </c>
      <c r="L25" s="36">
        <f>IFERROR(Calculations!$P15/12,"")</f>
        <v>7666.666666666667</v>
      </c>
      <c r="M25" s="36">
        <f>IFERROR(Calculations!$P15/12,"")</f>
        <v>7666.666666666667</v>
      </c>
      <c r="N25" s="36">
        <f>IFERROR(Calculations!$P15/12,"")</f>
        <v>7666.666666666667</v>
      </c>
      <c r="O25" s="36">
        <f>IFERROR(Calculations!$P15/12,"")</f>
        <v>7666.666666666667</v>
      </c>
      <c r="P25" s="36">
        <f>IFERROR(Calculations!$P15/12,"")</f>
        <v>7666.666666666667</v>
      </c>
      <c r="Q25" s="36">
        <f>IFERROR(Calculations!$P15/12,"")</f>
        <v>7666.666666666667</v>
      </c>
      <c r="R25" s="36">
        <f>IFERROR(Calculations!$P15/12,"")</f>
        <v>7666.666666666667</v>
      </c>
      <c r="S25" s="36">
        <f>IFERROR(Calculations!$P15/12,"")</f>
        <v>7666.666666666667</v>
      </c>
      <c r="T25" s="36">
        <f>IFERROR(Calculations!$P15/12,"")</f>
        <v>7666.666666666667</v>
      </c>
      <c r="U25" s="36">
        <f>IFERROR(Calculations!$P15/12,"")</f>
        <v>7666.666666666667</v>
      </c>
      <c r="V25" s="36">
        <f>IFERROR(Calculations!$P15/12,"")</f>
        <v>7666.666666666667</v>
      </c>
      <c r="W25" s="36">
        <f>IFERROR(Calculations!$P15/12,"")</f>
        <v>7666.666666666667</v>
      </c>
      <c r="X25" s="36">
        <f>IFERROR(Calculations!$P15/12,"")</f>
        <v>7666.666666666667</v>
      </c>
      <c r="Y25" s="36">
        <f>IFERROR(Calculations!$P15/12,"")</f>
        <v>7666.666666666667</v>
      </c>
      <c r="Z25" s="36">
        <f>SUMIF($B$13:$Y$13,"Yes",B25:Y25)</f>
        <v>99666.66666666669</v>
      </c>
      <c r="AA25" s="36">
        <f>SUM(B25:M25)</f>
        <v>92000.00000000001</v>
      </c>
      <c r="AB25" s="46">
        <f>SUM(B25:Y25)</f>
        <v>184000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8984.375</v>
      </c>
      <c r="C26" s="36">
        <f>IFERROR(Calculations!$P16/12,"")</f>
        <v>8984.375</v>
      </c>
      <c r="D26" s="36">
        <f>IFERROR(Calculations!$P16/12,"")</f>
        <v>8984.375</v>
      </c>
      <c r="E26" s="36">
        <f>IFERROR(Calculations!$P16/12,"")</f>
        <v>8984.375</v>
      </c>
      <c r="F26" s="36">
        <f>IFERROR(Calculations!$P16/12,"")</f>
        <v>8984.375</v>
      </c>
      <c r="G26" s="36">
        <f>IFERROR(Calculations!$P16/12,"")</f>
        <v>8984.375</v>
      </c>
      <c r="H26" s="36">
        <f>IFERROR(Calculations!$P16/12,"")</f>
        <v>8984.375</v>
      </c>
      <c r="I26" s="36">
        <f>IFERROR(Calculations!$P16/12,"")</f>
        <v>8984.375</v>
      </c>
      <c r="J26" s="36">
        <f>IFERROR(Calculations!$P16/12,"")</f>
        <v>8984.375</v>
      </c>
      <c r="K26" s="36">
        <f>IFERROR(Calculations!$P16/12,"")</f>
        <v>8984.375</v>
      </c>
      <c r="L26" s="36">
        <f>IFERROR(Calculations!$P16/12,"")</f>
        <v>8984.375</v>
      </c>
      <c r="M26" s="36">
        <f>IFERROR(Calculations!$P16/12,"")</f>
        <v>8984.375</v>
      </c>
      <c r="N26" s="36">
        <f>IFERROR(Calculations!$P16/12,"")</f>
        <v>8984.375</v>
      </c>
      <c r="O26" s="36">
        <f>IFERROR(Calculations!$P16/12,"")</f>
        <v>8984.375</v>
      </c>
      <c r="P26" s="36">
        <f>IFERROR(Calculations!$P16/12,"")</f>
        <v>8984.375</v>
      </c>
      <c r="Q26" s="36">
        <f>IFERROR(Calculations!$P16/12,"")</f>
        <v>8984.375</v>
      </c>
      <c r="R26" s="36">
        <f>IFERROR(Calculations!$P16/12,"")</f>
        <v>8984.375</v>
      </c>
      <c r="S26" s="36">
        <f>IFERROR(Calculations!$P16/12,"")</f>
        <v>8984.375</v>
      </c>
      <c r="T26" s="36">
        <f>IFERROR(Calculations!$P16/12,"")</f>
        <v>8984.375</v>
      </c>
      <c r="U26" s="36">
        <f>IFERROR(Calculations!$P16/12,"")</f>
        <v>8984.375</v>
      </c>
      <c r="V26" s="36">
        <f>IFERROR(Calculations!$P16/12,"")</f>
        <v>8984.375</v>
      </c>
      <c r="W26" s="36">
        <f>IFERROR(Calculations!$P16/12,"")</f>
        <v>8984.375</v>
      </c>
      <c r="X26" s="36">
        <f>IFERROR(Calculations!$P16/12,"")</f>
        <v>8984.375</v>
      </c>
      <c r="Y26" s="36">
        <f>IFERROR(Calculations!$P16/12,"")</f>
        <v>8984.375</v>
      </c>
      <c r="Z26" s="36">
        <f>SUMIF($B$13:$Y$13,"Yes",B26:Y26)</f>
        <v>116796.875</v>
      </c>
      <c r="AA26" s="36">
        <f>SUM(B26:M26)</f>
        <v>107812.5</v>
      </c>
      <c r="AB26" s="46">
        <f>SUM(B26:Y26)</f>
        <v>215625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215625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215625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20000</v>
      </c>
      <c r="C29" s="37">
        <f>Inputs!$B$30</f>
        <v>20000</v>
      </c>
      <c r="D29" s="37">
        <f>Inputs!$B$30</f>
        <v>20000</v>
      </c>
      <c r="E29" s="37">
        <f>Inputs!$B$30</f>
        <v>20000</v>
      </c>
      <c r="F29" s="37">
        <f>Inputs!$B$30</f>
        <v>20000</v>
      </c>
      <c r="G29" s="37">
        <f>Inputs!$B$30</f>
        <v>20000</v>
      </c>
      <c r="H29" s="37">
        <f>Inputs!$B$30</f>
        <v>20000</v>
      </c>
      <c r="I29" s="37">
        <f>Inputs!$B$30</f>
        <v>20000</v>
      </c>
      <c r="J29" s="37">
        <f>Inputs!$B$30</f>
        <v>20000</v>
      </c>
      <c r="K29" s="37">
        <f>Inputs!$B$30</f>
        <v>20000</v>
      </c>
      <c r="L29" s="37">
        <f>Inputs!$B$30</f>
        <v>20000</v>
      </c>
      <c r="M29" s="37">
        <f>Inputs!$B$30</f>
        <v>20000</v>
      </c>
      <c r="N29" s="37">
        <f>Inputs!$B$30</f>
        <v>20000</v>
      </c>
      <c r="O29" s="37">
        <f>Inputs!$B$30</f>
        <v>20000</v>
      </c>
      <c r="P29" s="37">
        <f>Inputs!$B$30</f>
        <v>20000</v>
      </c>
      <c r="Q29" s="37">
        <f>Inputs!$B$30</f>
        <v>20000</v>
      </c>
      <c r="R29" s="37">
        <f>Inputs!$B$30</f>
        <v>20000</v>
      </c>
      <c r="S29" s="37">
        <f>Inputs!$B$30</f>
        <v>20000</v>
      </c>
      <c r="T29" s="37">
        <f>Inputs!$B$30</f>
        <v>20000</v>
      </c>
      <c r="U29" s="37">
        <f>Inputs!$B$30</f>
        <v>20000</v>
      </c>
      <c r="V29" s="37">
        <f>Inputs!$B$30</f>
        <v>20000</v>
      </c>
      <c r="W29" s="37">
        <f>Inputs!$B$30</f>
        <v>20000</v>
      </c>
      <c r="X29" s="37">
        <f>Inputs!$B$30</f>
        <v>20000</v>
      </c>
      <c r="Y29" s="37">
        <f>Inputs!$B$30</f>
        <v>20000</v>
      </c>
      <c r="Z29" s="37">
        <f>SUMIF($B$13:$Y$13,"Yes",B29:Y29)</f>
        <v>260000</v>
      </c>
      <c r="AA29" s="37">
        <f>SUM(B29:M29)</f>
        <v>240000</v>
      </c>
      <c r="AB29" s="37">
        <f>SUM(B29:Y29)</f>
        <v>480000</v>
      </c>
    </row>
    <row r="30" spans="1:30" customHeight="1" ht="15.75">
      <c r="A30" s="1" t="s">
        <v>37</v>
      </c>
      <c r="B30" s="19">
        <f>SUM(B18:B29)</f>
        <v>106644.4720265291</v>
      </c>
      <c r="C30" s="19">
        <f>SUM(C18:C29)</f>
        <v>120538.1124727396</v>
      </c>
      <c r="D30" s="19">
        <f>SUM(D18:D29)</f>
        <v>124907.7675969481</v>
      </c>
      <c r="E30" s="19">
        <f>SUM(E18:E29)</f>
        <v>140028.924106685</v>
      </c>
      <c r="F30" s="19">
        <f>SUM(F18:F29)</f>
        <v>149686.1056023037</v>
      </c>
      <c r="G30" s="19">
        <f>SUM(G18:G29)</f>
        <v>129493.3703033662</v>
      </c>
      <c r="H30" s="19">
        <f>SUM(H18:H29)</f>
        <v>135453.9524625411</v>
      </c>
      <c r="I30" s="19">
        <f>SUM(I18:I29)</f>
        <v>149347.5929087516</v>
      </c>
      <c r="J30" s="19">
        <f>SUM(J18:J29)</f>
        <v>138815.7926350228</v>
      </c>
      <c r="K30" s="19">
        <f>SUM(K18:K29)</f>
        <v>139035.4937468226</v>
      </c>
      <c r="L30" s="19">
        <f>SUM(L18:L29)</f>
        <v>140745.2323635413</v>
      </c>
      <c r="M30" s="19">
        <f>SUM(M18:M29)</f>
        <v>106644.4720265291</v>
      </c>
      <c r="N30" s="19">
        <f>SUM(N18:N29)</f>
        <v>106644.4720265291</v>
      </c>
      <c r="O30" s="19">
        <f>SUM(O18:O29)</f>
        <v>120538.1124727396</v>
      </c>
      <c r="P30" s="19">
        <f>SUM(P18:P29)</f>
        <v>124907.7675969481</v>
      </c>
      <c r="Q30" s="19">
        <f>SUM(Q18:Q29)</f>
        <v>140028.924106685</v>
      </c>
      <c r="R30" s="19">
        <f>SUM(R18:R29)</f>
        <v>149686.1056023037</v>
      </c>
      <c r="S30" s="19">
        <f>SUM(S18:S29)</f>
        <v>129493.3703033662</v>
      </c>
      <c r="T30" s="19">
        <f>SUM(T18:T29)</f>
        <v>351078.9524625411</v>
      </c>
      <c r="U30" s="19">
        <f>SUM(U18:U29)</f>
        <v>149347.5929087516</v>
      </c>
      <c r="V30" s="19">
        <f>SUM(V18:V29)</f>
        <v>138815.7926350228</v>
      </c>
      <c r="W30" s="19">
        <f>SUM(W18:W29)</f>
        <v>139035.4937468226</v>
      </c>
      <c r="X30" s="19">
        <f>SUM(X18:X29)</f>
        <v>140745.2323635413</v>
      </c>
      <c r="Y30" s="19">
        <f>SUM(Y18:Y29)</f>
        <v>106644.4720265291</v>
      </c>
      <c r="Z30" s="19">
        <f>SUMIF($B$13:$Y$13,"Yes",B30:Y30)</f>
        <v>1687985.760278309</v>
      </c>
      <c r="AA30" s="19">
        <f>SUM(B30:M30)</f>
        <v>1581341.28825178</v>
      </c>
      <c r="AB30" s="19">
        <f>SUM(B30:Y30)</f>
        <v>3378307.57650356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500</v>
      </c>
      <c r="C36" s="36">
        <f>O36</f>
        <v>500</v>
      </c>
      <c r="D36" s="36">
        <f>P36</f>
        <v>500</v>
      </c>
      <c r="E36" s="36">
        <f>Q36</f>
        <v>4500</v>
      </c>
      <c r="F36" s="36">
        <f>R36</f>
        <v>500</v>
      </c>
      <c r="G36" s="36">
        <f>S36</f>
        <v>6500</v>
      </c>
      <c r="H36" s="36">
        <f>T36</f>
        <v>500</v>
      </c>
      <c r="I36" s="36">
        <f>U36</f>
        <v>500</v>
      </c>
      <c r="J36" s="36">
        <f>V36</f>
        <v>500</v>
      </c>
      <c r="K36" s="36">
        <f>W36</f>
        <v>4500</v>
      </c>
      <c r="L36" s="36">
        <f>X36</f>
        <v>500</v>
      </c>
      <c r="M36" s="36">
        <f>Y36</f>
        <v>6500</v>
      </c>
      <c r="N36" s="36">
        <f>SUM(N37:N41)</f>
        <v>500</v>
      </c>
      <c r="O36" s="36">
        <f>SUM(O37:O41)</f>
        <v>500</v>
      </c>
      <c r="P36" s="36">
        <f>SUM(P37:P41)</f>
        <v>500</v>
      </c>
      <c r="Q36" s="36">
        <f>SUM(Q37:Q41)</f>
        <v>4500</v>
      </c>
      <c r="R36" s="36">
        <f>SUM(R37:R41)</f>
        <v>500</v>
      </c>
      <c r="S36" s="36">
        <f>SUM(S37:S41)</f>
        <v>6500</v>
      </c>
      <c r="T36" s="36">
        <f>SUM(T37:T41)</f>
        <v>500</v>
      </c>
      <c r="U36" s="36">
        <f>SUM(U37:U41)</f>
        <v>500</v>
      </c>
      <c r="V36" s="36">
        <f>SUM(V37:V41)</f>
        <v>500</v>
      </c>
      <c r="W36" s="36">
        <f>SUM(W37:W41)</f>
        <v>4500</v>
      </c>
      <c r="X36" s="36">
        <f>SUM(X37:X41)</f>
        <v>500</v>
      </c>
      <c r="Y36" s="36">
        <f>SUM(Y37:Y41)</f>
        <v>6500</v>
      </c>
      <c r="Z36" s="36">
        <f>SUMIF($B$13:$Y$13,"Yes",B36:Y36)</f>
        <v>26500</v>
      </c>
      <c r="AA36" s="36">
        <f>SUM(B36:M36)</f>
        <v>26000</v>
      </c>
      <c r="AB36" s="36">
        <f>SUM(B36:Y36)</f>
        <v>52000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4000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4000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4000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4000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6000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6000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6000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6000</v>
      </c>
      <c r="Z38" s="36">
        <f>SUMIF($B$13:$Y$13,"Yes",B38:Y38)</f>
        <v>12000</v>
      </c>
      <c r="AA38" s="36">
        <f>SUM(B38:M38)</f>
        <v>12000</v>
      </c>
      <c r="AB38" s="36">
        <f>SUM(B38:Y38)</f>
        <v>24000</v>
      </c>
      <c r="AC38" s="73"/>
    </row>
    <row r="39" spans="1:30" hidden="true" outlineLevel="1">
      <c r="A39" s="181" t="str">
        <f>Calculations!$A$6</f>
        <v>Mangoes</v>
      </c>
      <c r="B39" s="36">
        <f>N39</f>
        <v>500</v>
      </c>
      <c r="C39" s="36">
        <f>O39</f>
        <v>500</v>
      </c>
      <c r="D39" s="36">
        <f>P39</f>
        <v>500</v>
      </c>
      <c r="E39" s="36">
        <f>Q39</f>
        <v>500</v>
      </c>
      <c r="F39" s="36">
        <f>R39</f>
        <v>500</v>
      </c>
      <c r="G39" s="36">
        <f>S39</f>
        <v>500</v>
      </c>
      <c r="H39" s="36">
        <f>T39</f>
        <v>500</v>
      </c>
      <c r="I39" s="36">
        <f>U39</f>
        <v>500</v>
      </c>
      <c r="J39" s="36">
        <f>V39</f>
        <v>500</v>
      </c>
      <c r="K39" s="36">
        <f>W39</f>
        <v>500</v>
      </c>
      <c r="L39" s="36">
        <f>X39</f>
        <v>500</v>
      </c>
      <c r="M39" s="36">
        <f>Y39</f>
        <v>500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500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500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500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500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500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500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500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500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500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500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500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500</v>
      </c>
      <c r="Z39" s="36">
        <f>SUMIF($B$13:$Y$13,"Yes",B39:Y39)</f>
        <v>6500</v>
      </c>
      <c r="AA39" s="36">
        <f>SUM(B39:M39)</f>
        <v>6000</v>
      </c>
      <c r="AB39" s="36">
        <f>SUM(B39:Y39)</f>
        <v>12000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5000</v>
      </c>
      <c r="F42" s="36">
        <f>R42</f>
        <v>0</v>
      </c>
      <c r="G42" s="36">
        <f>S42</f>
        <v>909.0000000000002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5000</v>
      </c>
      <c r="L42" s="36">
        <f>X42</f>
        <v>0</v>
      </c>
      <c r="M42" s="36">
        <f>Y42</f>
        <v>909.0000000000002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5000</v>
      </c>
      <c r="R42" s="36">
        <f>SUM(R43:R47)</f>
        <v>0</v>
      </c>
      <c r="S42" s="36">
        <f>SUM(S43:S47)</f>
        <v>909.0000000000002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5000</v>
      </c>
      <c r="X42" s="36">
        <f>SUM(X43:X47)</f>
        <v>0</v>
      </c>
      <c r="Y42" s="36">
        <f>SUM(Y43:Y47)</f>
        <v>909.0000000000002</v>
      </c>
      <c r="Z42" s="36">
        <f>SUMIF($B$13:$Y$13,"Yes",B42:Y42)</f>
        <v>11818</v>
      </c>
      <c r="AA42" s="36">
        <f>SUM(B42:M42)</f>
        <v>11818</v>
      </c>
      <c r="AB42" s="36">
        <f>SUM(B42:Y42)</f>
        <v>23636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5000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5000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5000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5000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10000</v>
      </c>
      <c r="AA43" s="36">
        <f>SUM(B43:M43)</f>
        <v>10000</v>
      </c>
      <c r="AB43" s="36">
        <f>SUM(B43:Y43)</f>
        <v>20000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909.0000000000002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909.0000000000002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909.0000000000002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909.0000000000002</v>
      </c>
      <c r="Z44" s="36">
        <f>SUMIF($B$13:$Y$13,"Yes",B44:Y44)</f>
        <v>1818</v>
      </c>
      <c r="AA44" s="36">
        <f>SUM(B44:M44)</f>
        <v>1818</v>
      </c>
      <c r="AB44" s="36">
        <f>SUM(B44:Y44)</f>
        <v>3636.000000000001</v>
      </c>
    </row>
    <row r="45" spans="1:30" hidden="true" outlineLevel="1">
      <c r="A45" s="181" t="str">
        <f>Calculations!$A$6</f>
        <v>Mangoes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900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6000</v>
      </c>
      <c r="H48" s="36">
        <f>T48</f>
        <v>0</v>
      </c>
      <c r="I48" s="36">
        <f>U48</f>
        <v>900</v>
      </c>
      <c r="J48" s="36">
        <f>V48</f>
        <v>0</v>
      </c>
      <c r="K48" s="36">
        <f>W48</f>
        <v>13500</v>
      </c>
      <c r="L48" s="36">
        <f>X48</f>
        <v>0</v>
      </c>
      <c r="M48" s="36">
        <f>Y48</f>
        <v>6000</v>
      </c>
      <c r="N48" s="46">
        <f>SUM(N49:N53)</f>
        <v>0</v>
      </c>
      <c r="O48" s="46">
        <f>SUM(O49:O53)</f>
        <v>900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6000</v>
      </c>
      <c r="T48" s="46">
        <f>SUM(T49:T53)</f>
        <v>0</v>
      </c>
      <c r="U48" s="46">
        <f>SUM(U49:U53)</f>
        <v>900</v>
      </c>
      <c r="V48" s="46">
        <f>SUM(V49:V53)</f>
        <v>0</v>
      </c>
      <c r="W48" s="46">
        <f>SUM(W49:W53)</f>
        <v>13500</v>
      </c>
      <c r="X48" s="46">
        <f>SUM(X49:X53)</f>
        <v>0</v>
      </c>
      <c r="Y48" s="46">
        <f>SUM(Y49:Y53)</f>
        <v>6000</v>
      </c>
      <c r="Z48" s="46">
        <f>SUMIF($B$13:$Y$13,"Yes",B48:Y48)</f>
        <v>27300</v>
      </c>
      <c r="AA48" s="46">
        <f>SUM(B48:M48)</f>
        <v>27300</v>
      </c>
      <c r="AB48" s="46">
        <f>SUM(B48:Y48)</f>
        <v>54600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6000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6000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6000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6000</v>
      </c>
      <c r="Z49" s="46">
        <f>SUMIF($B$13:$Y$13,"Yes",B49:Y49)</f>
        <v>12000</v>
      </c>
      <c r="AA49" s="46">
        <f>SUM(B49:M49)</f>
        <v>12000</v>
      </c>
      <c r="AB49" s="46">
        <f>SUM(B49:Y49)</f>
        <v>24000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900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900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900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900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1800</v>
      </c>
      <c r="AA50" s="46">
        <f>SUM(B50:M50)</f>
        <v>1800</v>
      </c>
      <c r="AB50" s="46">
        <f>SUM(B50:Y50)</f>
        <v>3600</v>
      </c>
    </row>
    <row r="51" spans="1:30" hidden="true" outlineLevel="1">
      <c r="A51" s="181" t="str">
        <f>Calculations!$A$6</f>
        <v>Mangoes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13500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13500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13500</v>
      </c>
      <c r="AA51" s="46">
        <f>SUM(B51:M51)</f>
        <v>13500</v>
      </c>
      <c r="AB51" s="46">
        <f>SUM(B51:Y51)</f>
        <v>27000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497.4450571503922</v>
      </c>
      <c r="D54" s="36">
        <f>P54</f>
        <v>0</v>
      </c>
      <c r="E54" s="36">
        <f>Q54</f>
        <v>3276.179982252633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497.4450571503922</v>
      </c>
      <c r="J54" s="36">
        <f>V54</f>
        <v>0</v>
      </c>
      <c r="K54" s="36">
        <f>W54</f>
        <v>3276.179982252633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497.4450571503922</v>
      </c>
      <c r="P54" s="46">
        <f>SUM(P55:P59)</f>
        <v>0</v>
      </c>
      <c r="Q54" s="46">
        <f>SUM(Q55:Q59)</f>
        <v>3276.179982252633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497.4450571503922</v>
      </c>
      <c r="V54" s="46">
        <f>SUM(V55:V59)</f>
        <v>0</v>
      </c>
      <c r="W54" s="46">
        <f>SUM(W55:W59)</f>
        <v>3276.179982252633</v>
      </c>
      <c r="X54" s="46">
        <f>SUM(X55:X59)</f>
        <v>0</v>
      </c>
      <c r="Y54" s="46">
        <f>SUM(Y55:Y59)</f>
        <v>0</v>
      </c>
      <c r="Z54" s="46">
        <f>SUMIF($B$13:$Y$13,"Yes",B54:Y54)</f>
        <v>7547.25007880605</v>
      </c>
      <c r="AA54" s="46">
        <f>SUM(B54:M54)</f>
        <v>7547.25007880605</v>
      </c>
      <c r="AB54" s="46">
        <f>SUM(B54:Y54)</f>
        <v>15094.5001576121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497.4450571503922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497.4450571503922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497.4450571503922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497.4450571503922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994.8901143007844</v>
      </c>
      <c r="AA55" s="46">
        <f>SUM(B55:M55)</f>
        <v>994.8901143007844</v>
      </c>
      <c r="AB55" s="46">
        <f>SUM(B55:Y55)</f>
        <v>1989.780228601569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3276.179982252633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3276.179982252633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3276.179982252633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3276.179982252633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6552.359964505265</v>
      </c>
      <c r="AA56" s="46">
        <f>SUM(B56:M56)</f>
        <v>6552.359964505265</v>
      </c>
      <c r="AB56" s="46">
        <f>SUM(B56:Y56)</f>
        <v>13104.71992901053</v>
      </c>
    </row>
    <row r="57" spans="1:30" hidden="true" outlineLevel="1">
      <c r="A57" s="181" t="str">
        <f>Calculations!$A$6</f>
        <v>Mangoes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6650</v>
      </c>
      <c r="C60" s="36">
        <f>O60</f>
        <v>6650</v>
      </c>
      <c r="D60" s="36">
        <f>P60</f>
        <v>4250</v>
      </c>
      <c r="E60" s="36">
        <f>Q60</f>
        <v>6650</v>
      </c>
      <c r="F60" s="36">
        <f>R60</f>
        <v>3650</v>
      </c>
      <c r="G60" s="36">
        <f>S60</f>
        <v>6650</v>
      </c>
      <c r="H60" s="36">
        <f>T60</f>
        <v>6650</v>
      </c>
      <c r="I60" s="36">
        <f>U60</f>
        <v>6650</v>
      </c>
      <c r="J60" s="36">
        <f>V60</f>
        <v>4250</v>
      </c>
      <c r="K60" s="36">
        <f>W60</f>
        <v>6650</v>
      </c>
      <c r="L60" s="36">
        <f>X60</f>
        <v>3650</v>
      </c>
      <c r="M60" s="36">
        <f>Y60</f>
        <v>6650</v>
      </c>
      <c r="N60" s="46">
        <f>SUM(N61:N65)</f>
        <v>6650</v>
      </c>
      <c r="O60" s="46">
        <f>SUM(O61:O65)</f>
        <v>6650</v>
      </c>
      <c r="P60" s="46">
        <f>SUM(P61:P65)</f>
        <v>4250</v>
      </c>
      <c r="Q60" s="46">
        <f>SUM(Q61:Q65)</f>
        <v>6650</v>
      </c>
      <c r="R60" s="46">
        <f>SUM(R61:R65)</f>
        <v>3650</v>
      </c>
      <c r="S60" s="46">
        <f>SUM(S61:S65)</f>
        <v>6650</v>
      </c>
      <c r="T60" s="46">
        <f>SUM(T61:T65)</f>
        <v>6650</v>
      </c>
      <c r="U60" s="46">
        <f>SUM(U61:U65)</f>
        <v>6650</v>
      </c>
      <c r="V60" s="46">
        <f>SUM(V61:V65)</f>
        <v>4250</v>
      </c>
      <c r="W60" s="46">
        <f>SUM(W61:W65)</f>
        <v>6650</v>
      </c>
      <c r="X60" s="46">
        <f>SUM(X61:X65)</f>
        <v>3650</v>
      </c>
      <c r="Y60" s="46">
        <f>SUM(Y61:Y65)</f>
        <v>6650</v>
      </c>
      <c r="Z60" s="46">
        <f>SUMIF($B$13:$Y$13,"Yes",B60:Y60)</f>
        <v>75650</v>
      </c>
      <c r="AA60" s="46">
        <f>SUM(B60:M60)</f>
        <v>69000</v>
      </c>
      <c r="AB60" s="46">
        <f>SUM(B60:Y60)</f>
        <v>138000</v>
      </c>
    </row>
    <row r="61" spans="1:30" hidden="true" outlineLevel="1">
      <c r="A61" s="181" t="str">
        <f>Calculations!$A$4</f>
        <v>Beans</v>
      </c>
      <c r="B61" s="36">
        <f>N61</f>
        <v>2400</v>
      </c>
      <c r="C61" s="36">
        <f>O61</f>
        <v>2400</v>
      </c>
      <c r="D61" s="36">
        <f>P61</f>
        <v>0</v>
      </c>
      <c r="E61" s="36">
        <f>Q61</f>
        <v>2400</v>
      </c>
      <c r="F61" s="36">
        <f>R61</f>
        <v>2400</v>
      </c>
      <c r="G61" s="36">
        <f>S61</f>
        <v>2400</v>
      </c>
      <c r="H61" s="36">
        <f>T61</f>
        <v>2400</v>
      </c>
      <c r="I61" s="36">
        <f>U61</f>
        <v>2400</v>
      </c>
      <c r="J61" s="36">
        <f>V61</f>
        <v>0</v>
      </c>
      <c r="K61" s="36">
        <f>W61</f>
        <v>2400</v>
      </c>
      <c r="L61" s="36">
        <f>X61</f>
        <v>2400</v>
      </c>
      <c r="M61" s="36">
        <f>Y61</f>
        <v>2400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2400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2400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2400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2400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2400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2400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2400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2400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2400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2400</v>
      </c>
      <c r="Z61" s="46">
        <f>SUMIF($B$13:$Y$13,"Yes",B61:Y61)</f>
        <v>26400</v>
      </c>
      <c r="AA61" s="46">
        <f>SUM(B61:M61)</f>
        <v>24000</v>
      </c>
      <c r="AB61" s="46">
        <f>SUM(B61:Y61)</f>
        <v>48000</v>
      </c>
    </row>
    <row r="62" spans="1:30" hidden="true" outlineLevel="1">
      <c r="A62" s="181" t="str">
        <f>Calculations!$A$5</f>
        <v>Maize</v>
      </c>
      <c r="B62" s="36">
        <f>N62</f>
        <v>3000</v>
      </c>
      <c r="C62" s="36">
        <f>O62</f>
        <v>3000</v>
      </c>
      <c r="D62" s="36">
        <f>P62</f>
        <v>3000</v>
      </c>
      <c r="E62" s="36">
        <f>Q62</f>
        <v>3000</v>
      </c>
      <c r="F62" s="36">
        <f>R62</f>
        <v>0</v>
      </c>
      <c r="G62" s="36">
        <f>S62</f>
        <v>3000</v>
      </c>
      <c r="H62" s="36">
        <f>T62</f>
        <v>3000</v>
      </c>
      <c r="I62" s="36">
        <f>U62</f>
        <v>3000</v>
      </c>
      <c r="J62" s="36">
        <f>V62</f>
        <v>3000</v>
      </c>
      <c r="K62" s="36">
        <f>W62</f>
        <v>3000</v>
      </c>
      <c r="L62" s="36">
        <f>X62</f>
        <v>0</v>
      </c>
      <c r="M62" s="36">
        <f>Y62</f>
        <v>3000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3000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3000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3000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3000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3000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3000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3000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3000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3000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3000</v>
      </c>
      <c r="Z62" s="46">
        <f>SUMIF($B$13:$Y$13,"Yes",B62:Y62)</f>
        <v>33000</v>
      </c>
      <c r="AA62" s="46">
        <f>SUM(B62:M62)</f>
        <v>30000</v>
      </c>
      <c r="AB62" s="46">
        <f>SUM(B62:Y62)</f>
        <v>60000</v>
      </c>
    </row>
    <row r="63" spans="1:30" hidden="true" outlineLevel="1">
      <c r="A63" s="181" t="str">
        <f>Calculations!$A$6</f>
        <v>Mangoes</v>
      </c>
      <c r="B63" s="36">
        <f>N63</f>
        <v>1250</v>
      </c>
      <c r="C63" s="36">
        <f>O63</f>
        <v>1250</v>
      </c>
      <c r="D63" s="36">
        <f>P63</f>
        <v>1250</v>
      </c>
      <c r="E63" s="36">
        <f>Q63</f>
        <v>1250</v>
      </c>
      <c r="F63" s="36">
        <f>R63</f>
        <v>1250</v>
      </c>
      <c r="G63" s="36">
        <f>S63</f>
        <v>1250</v>
      </c>
      <c r="H63" s="36">
        <f>T63</f>
        <v>1250</v>
      </c>
      <c r="I63" s="36">
        <f>U63</f>
        <v>1250</v>
      </c>
      <c r="J63" s="36">
        <f>V63</f>
        <v>1250</v>
      </c>
      <c r="K63" s="36">
        <f>W63</f>
        <v>1250</v>
      </c>
      <c r="L63" s="36">
        <f>X63</f>
        <v>1250</v>
      </c>
      <c r="M63" s="36">
        <f>Y63</f>
        <v>1250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1250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1250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1250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1250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1250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1250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1250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1250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1250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1250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1250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1250</v>
      </c>
      <c r="Z63" s="46">
        <f>SUMIF($B$13:$Y$13,"Yes",B63:Y63)</f>
        <v>16250</v>
      </c>
      <c r="AA63" s="46">
        <f>SUM(B63:M63)</f>
        <v>15000</v>
      </c>
      <c r="AB63" s="46">
        <f>SUM(B63:Y63)</f>
        <v>30000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687.9999999999997</v>
      </c>
      <c r="C66" s="36">
        <f>O66</f>
        <v>687.9999999999997</v>
      </c>
      <c r="D66" s="36">
        <f>P66</f>
        <v>367.9999999999998</v>
      </c>
      <c r="E66" s="36">
        <f>Q66</f>
        <v>687.9999999999997</v>
      </c>
      <c r="F66" s="36">
        <f>R66</f>
        <v>399.9999999999998</v>
      </c>
      <c r="G66" s="36">
        <f>S66</f>
        <v>687.9999999999997</v>
      </c>
      <c r="H66" s="36">
        <f>T66</f>
        <v>687.9999999999997</v>
      </c>
      <c r="I66" s="36">
        <f>U66</f>
        <v>687.9999999999997</v>
      </c>
      <c r="J66" s="36">
        <f>V66</f>
        <v>367.9999999999998</v>
      </c>
      <c r="K66" s="36">
        <f>W66</f>
        <v>687.9999999999997</v>
      </c>
      <c r="L66" s="36">
        <f>X66</f>
        <v>399.9999999999998</v>
      </c>
      <c r="M66" s="36">
        <f>Y66</f>
        <v>687.9999999999997</v>
      </c>
      <c r="N66" s="46">
        <f>SUM(N67:N71)</f>
        <v>687.9999999999997</v>
      </c>
      <c r="O66" s="46">
        <f>SUM(O67:O71)</f>
        <v>687.9999999999997</v>
      </c>
      <c r="P66" s="46">
        <f>SUM(P67:P71)</f>
        <v>367.9999999999998</v>
      </c>
      <c r="Q66" s="46">
        <f>SUM(Q67:Q71)</f>
        <v>687.9999999999997</v>
      </c>
      <c r="R66" s="46">
        <f>SUM(R67:R71)</f>
        <v>399.9999999999998</v>
      </c>
      <c r="S66" s="46">
        <f>SUM(S67:S71)</f>
        <v>687.9999999999997</v>
      </c>
      <c r="T66" s="46">
        <f>SUM(T67:T71)</f>
        <v>687.9999999999997</v>
      </c>
      <c r="U66" s="46">
        <f>SUM(U67:U71)</f>
        <v>687.9999999999997</v>
      </c>
      <c r="V66" s="46">
        <f>SUM(V67:V71)</f>
        <v>367.9999999999998</v>
      </c>
      <c r="W66" s="46">
        <f>SUM(W67:W71)</f>
        <v>687.9999999999997</v>
      </c>
      <c r="X66" s="46">
        <f>SUM(X67:X71)</f>
        <v>399.9999999999998</v>
      </c>
      <c r="Y66" s="46">
        <f>SUM(Y67:Y71)</f>
        <v>687.9999999999997</v>
      </c>
      <c r="Z66" s="46">
        <f>SUMIF($B$13:$Y$13,"Yes",B66:Y66)</f>
        <v>7727.999999999997</v>
      </c>
      <c r="AA66" s="46">
        <f>SUM(B66:M66)</f>
        <v>7039.999999999997</v>
      </c>
      <c r="AB66" s="46">
        <f>SUM(B66:Y66)</f>
        <v>14080</v>
      </c>
    </row>
    <row r="67" spans="1:30" hidden="true" outlineLevel="1">
      <c r="A67" s="181" t="str">
        <f>Calculations!$A$4</f>
        <v>Beans</v>
      </c>
      <c r="B67" s="36">
        <f>N67</f>
        <v>319.9999999999998</v>
      </c>
      <c r="C67" s="36">
        <f>O67</f>
        <v>319.9999999999998</v>
      </c>
      <c r="D67" s="36">
        <f>P67</f>
        <v>0</v>
      </c>
      <c r="E67" s="36">
        <f>Q67</f>
        <v>319.9999999999998</v>
      </c>
      <c r="F67" s="36">
        <f>R67</f>
        <v>319.9999999999998</v>
      </c>
      <c r="G67" s="36">
        <f>S67</f>
        <v>319.9999999999998</v>
      </c>
      <c r="H67" s="36">
        <f>T67</f>
        <v>319.9999999999998</v>
      </c>
      <c r="I67" s="36">
        <f>U67</f>
        <v>319.9999999999998</v>
      </c>
      <c r="J67" s="36">
        <f>V67</f>
        <v>0</v>
      </c>
      <c r="K67" s="36">
        <f>W67</f>
        <v>319.9999999999998</v>
      </c>
      <c r="L67" s="36">
        <f>X67</f>
        <v>319.9999999999998</v>
      </c>
      <c r="M67" s="36">
        <f>Y67</f>
        <v>319.9999999999998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319.9999999999998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319.9999999999998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319.9999999999998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319.9999999999998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319.9999999999998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319.9999999999998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319.9999999999998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319.9999999999998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319.9999999999998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319.9999999999998</v>
      </c>
      <c r="Z67" s="46">
        <f>SUMIF($B$13:$Y$13,"Yes",B67:Y67)</f>
        <v>3519.999999999999</v>
      </c>
      <c r="AA67" s="46">
        <f>SUM(B67:M67)</f>
        <v>3199.999999999999</v>
      </c>
      <c r="AB67" s="46">
        <f>SUM(B67:Y67)</f>
        <v>6399.999999999998</v>
      </c>
    </row>
    <row r="68" spans="1:30" hidden="true" outlineLevel="1">
      <c r="A68" s="181" t="str">
        <f>Calculations!$A$5</f>
        <v>Maize</v>
      </c>
      <c r="B68" s="36">
        <f>N68</f>
        <v>287.9999999999998</v>
      </c>
      <c r="C68" s="36">
        <f>O68</f>
        <v>287.9999999999998</v>
      </c>
      <c r="D68" s="36">
        <f>P68</f>
        <v>287.9999999999998</v>
      </c>
      <c r="E68" s="36">
        <f>Q68</f>
        <v>287.9999999999998</v>
      </c>
      <c r="F68" s="36">
        <f>R68</f>
        <v>0</v>
      </c>
      <c r="G68" s="36">
        <f>S68</f>
        <v>287.9999999999998</v>
      </c>
      <c r="H68" s="36">
        <f>T68</f>
        <v>287.9999999999998</v>
      </c>
      <c r="I68" s="36">
        <f>U68</f>
        <v>287.9999999999998</v>
      </c>
      <c r="J68" s="36">
        <f>V68</f>
        <v>287.9999999999998</v>
      </c>
      <c r="K68" s="36">
        <f>W68</f>
        <v>287.9999999999998</v>
      </c>
      <c r="L68" s="36">
        <f>X68</f>
        <v>0</v>
      </c>
      <c r="M68" s="36">
        <f>Y68</f>
        <v>287.9999999999998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287.9999999999998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287.9999999999998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287.9999999999998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287.9999999999998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287.9999999999998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287.9999999999998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287.9999999999998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287.9999999999998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287.9999999999998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287.9999999999998</v>
      </c>
      <c r="Z68" s="46">
        <f>SUMIF($B$13:$Y$13,"Yes",B68:Y68)</f>
        <v>3167.999999999999</v>
      </c>
      <c r="AA68" s="46">
        <f>SUM(B68:M68)</f>
        <v>2879.999999999999</v>
      </c>
      <c r="AB68" s="46">
        <f>SUM(B68:Y68)</f>
        <v>5759.999999999998</v>
      </c>
    </row>
    <row r="69" spans="1:30" hidden="true" outlineLevel="1">
      <c r="A69" s="181" t="str">
        <f>Calculations!$A$6</f>
        <v>Mangoes</v>
      </c>
      <c r="B69" s="36">
        <f>N69</f>
        <v>79.99999999999997</v>
      </c>
      <c r="C69" s="36">
        <f>O69</f>
        <v>79.99999999999997</v>
      </c>
      <c r="D69" s="36">
        <f>P69</f>
        <v>79.99999999999997</v>
      </c>
      <c r="E69" s="36">
        <f>Q69</f>
        <v>79.99999999999997</v>
      </c>
      <c r="F69" s="36">
        <f>R69</f>
        <v>79.99999999999997</v>
      </c>
      <c r="G69" s="36">
        <f>S69</f>
        <v>79.99999999999997</v>
      </c>
      <c r="H69" s="36">
        <f>T69</f>
        <v>79.99999999999997</v>
      </c>
      <c r="I69" s="36">
        <f>U69</f>
        <v>79.99999999999997</v>
      </c>
      <c r="J69" s="36">
        <f>V69</f>
        <v>79.99999999999997</v>
      </c>
      <c r="K69" s="36">
        <f>W69</f>
        <v>79.99999999999997</v>
      </c>
      <c r="L69" s="36">
        <f>X69</f>
        <v>79.99999999999997</v>
      </c>
      <c r="M69" s="36">
        <f>Y69</f>
        <v>79.99999999999997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79.99999999999997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79.99999999999997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79.99999999999997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79.99999999999997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79.99999999999997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79.99999999999997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79.99999999999997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79.99999999999997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79.99999999999997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79.99999999999997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79.99999999999997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79.99999999999997</v>
      </c>
      <c r="Z69" s="46">
        <f>SUMIF($B$13:$Y$13,"Yes",B69:Y69)</f>
        <v>1040</v>
      </c>
      <c r="AA69" s="46">
        <f>SUM(B69:M69)</f>
        <v>959.9999999999999</v>
      </c>
      <c r="AB69" s="46">
        <f>SUM(B69:Y69)</f>
        <v>1920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20000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20000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20000</v>
      </c>
      <c r="AA72" s="46">
        <f>SUM(B72:M72)</f>
        <v>20000</v>
      </c>
      <c r="AB72" s="46">
        <f>SUM(B72:Y72)</f>
        <v>40000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27755.20833333333</v>
      </c>
      <c r="C74" s="46">
        <f>SUM(Calculations!$Q$14:$Q$16)/12</f>
        <v>27755.20833333333</v>
      </c>
      <c r="D74" s="46">
        <f>SUM(Calculations!$Q$14:$Q$16)/12</f>
        <v>27755.20833333333</v>
      </c>
      <c r="E74" s="46">
        <f>SUM(Calculations!$Q$14:$Q$16)/12</f>
        <v>27755.20833333333</v>
      </c>
      <c r="F74" s="46">
        <f>SUM(Calculations!$Q$14:$Q$16)/12</f>
        <v>27755.20833333333</v>
      </c>
      <c r="G74" s="46">
        <f>SUM(Calculations!$Q$14:$Q$16)/12</f>
        <v>27755.20833333333</v>
      </c>
      <c r="H74" s="46">
        <f>SUM(Calculations!$Q$14:$Q$16)/12</f>
        <v>27755.20833333333</v>
      </c>
      <c r="I74" s="46">
        <f>SUM(Calculations!$Q$14:$Q$16)/12</f>
        <v>27755.20833333333</v>
      </c>
      <c r="J74" s="46">
        <f>SUM(Calculations!$Q$14:$Q$16)/12</f>
        <v>27755.20833333333</v>
      </c>
      <c r="K74" s="46">
        <f>SUM(Calculations!$Q$14:$Q$16)/12</f>
        <v>27755.20833333333</v>
      </c>
      <c r="L74" s="46">
        <f>SUM(Calculations!$Q$14:$Q$16)/12</f>
        <v>27755.20833333333</v>
      </c>
      <c r="M74" s="46">
        <f>SUM(Calculations!$Q$14:$Q$16)/12</f>
        <v>27755.20833333333</v>
      </c>
      <c r="N74" s="46">
        <f>SUM(Calculations!$Q$14:$Q$16)/12</f>
        <v>27755.20833333333</v>
      </c>
      <c r="O74" s="46">
        <f>SUM(Calculations!$Q$14:$Q$16)/12</f>
        <v>27755.20833333333</v>
      </c>
      <c r="P74" s="46">
        <f>SUM(Calculations!$Q$14:$Q$16)/12</f>
        <v>27755.20833333333</v>
      </c>
      <c r="Q74" s="46">
        <f>SUM(Calculations!$Q$14:$Q$16)/12</f>
        <v>27755.20833333333</v>
      </c>
      <c r="R74" s="46">
        <f>SUM(Calculations!$Q$14:$Q$16)/12</f>
        <v>27755.20833333333</v>
      </c>
      <c r="S74" s="46">
        <f>SUM(Calculations!$Q$14:$Q$16)/12</f>
        <v>27755.20833333333</v>
      </c>
      <c r="T74" s="46">
        <f>SUM(Calculations!$Q$14:$Q$16)/12</f>
        <v>27755.20833333333</v>
      </c>
      <c r="U74" s="46">
        <f>SUM(Calculations!$Q$14:$Q$16)/12</f>
        <v>27755.20833333333</v>
      </c>
      <c r="V74" s="46">
        <f>SUM(Calculations!$Q$14:$Q$16)/12</f>
        <v>27755.20833333333</v>
      </c>
      <c r="W74" s="46">
        <f>SUM(Calculations!$Q$14:$Q$16)/12</f>
        <v>27755.20833333333</v>
      </c>
      <c r="X74" s="46">
        <f>SUM(Calculations!$Q$14:$Q$16)/12</f>
        <v>27755.20833333333</v>
      </c>
      <c r="Y74" s="46">
        <f>SUM(Calculations!$Q$14:$Q$16)/12</f>
        <v>27755.20833333333</v>
      </c>
      <c r="Z74" s="46">
        <f>SUMIF($B$13:$Y$13,"Yes",B74:Y74)</f>
        <v>360817.7083333333</v>
      </c>
      <c r="AA74" s="46">
        <f>SUM(B74:M74)</f>
        <v>333062.5</v>
      </c>
      <c r="AB74" s="46">
        <f>SUM(B74:Y74)</f>
        <v>666125.0000000001</v>
      </c>
    </row>
    <row r="75" spans="1:30">
      <c r="A75" s="16" t="s">
        <v>47</v>
      </c>
      <c r="B75" s="46">
        <f>SUM(Calculations!$R$14:$R$16)/12</f>
        <v>2583.333333333333</v>
      </c>
      <c r="C75" s="46">
        <f>SUM(Calculations!$R$14:$R$16)/12</f>
        <v>2583.333333333333</v>
      </c>
      <c r="D75" s="46">
        <f>SUM(Calculations!$R$14:$R$16)/12</f>
        <v>2583.333333333333</v>
      </c>
      <c r="E75" s="46">
        <f>SUM(Calculations!$R$14:$R$16)/12</f>
        <v>2583.333333333333</v>
      </c>
      <c r="F75" s="46">
        <f>SUM(Calculations!$R$14:$R$16)/12</f>
        <v>2583.333333333333</v>
      </c>
      <c r="G75" s="46">
        <f>SUM(Calculations!$R$14:$R$16)/12</f>
        <v>2583.333333333333</v>
      </c>
      <c r="H75" s="46">
        <f>SUM(Calculations!$R$14:$R$16)/12</f>
        <v>2583.333333333333</v>
      </c>
      <c r="I75" s="46">
        <f>SUM(Calculations!$R$14:$R$16)/12</f>
        <v>2583.333333333333</v>
      </c>
      <c r="J75" s="46">
        <f>SUM(Calculations!$R$14:$R$16)/12</f>
        <v>2583.333333333333</v>
      </c>
      <c r="K75" s="46">
        <f>SUM(Calculations!$R$14:$R$16)/12</f>
        <v>2583.333333333333</v>
      </c>
      <c r="L75" s="46">
        <f>SUM(Calculations!$R$14:$R$16)/12</f>
        <v>2583.333333333333</v>
      </c>
      <c r="M75" s="46">
        <f>SUM(Calculations!$R$14:$R$16)/12</f>
        <v>2583.333333333333</v>
      </c>
      <c r="N75" s="46">
        <f>SUM(Calculations!$R$14:$R$16)/12</f>
        <v>2583.333333333333</v>
      </c>
      <c r="O75" s="46">
        <f>SUM(Calculations!$R$14:$R$16)/12</f>
        <v>2583.333333333333</v>
      </c>
      <c r="P75" s="46">
        <f>SUM(Calculations!$R$14:$R$16)/12</f>
        <v>2583.333333333333</v>
      </c>
      <c r="Q75" s="46">
        <f>SUM(Calculations!$R$14:$R$16)/12</f>
        <v>2583.333333333333</v>
      </c>
      <c r="R75" s="46">
        <f>SUM(Calculations!$R$14:$R$16)/12</f>
        <v>2583.333333333333</v>
      </c>
      <c r="S75" s="46">
        <f>SUM(Calculations!$R$14:$R$16)/12</f>
        <v>2583.333333333333</v>
      </c>
      <c r="T75" s="46">
        <f>SUM(Calculations!$R$14:$R$16)/12</f>
        <v>2583.333333333333</v>
      </c>
      <c r="U75" s="46">
        <f>SUM(Calculations!$R$14:$R$16)/12</f>
        <v>2583.333333333333</v>
      </c>
      <c r="V75" s="46">
        <f>SUM(Calculations!$R$14:$R$16)/12</f>
        <v>2583.333333333333</v>
      </c>
      <c r="W75" s="46">
        <f>SUM(Calculations!$R$14:$R$16)/12</f>
        <v>2583.333333333333</v>
      </c>
      <c r="X75" s="46">
        <f>SUM(Calculations!$R$14:$R$16)/12</f>
        <v>2583.333333333333</v>
      </c>
      <c r="Y75" s="46">
        <f>SUM(Calculations!$R$14:$R$16)/12</f>
        <v>2583.333333333333</v>
      </c>
      <c r="Z75" s="46">
        <f>SUMIF($B$13:$Y$13,"Yes",B75:Y75)</f>
        <v>33583.33333333333</v>
      </c>
      <c r="AA75" s="46">
        <f>SUM(B75:M75)</f>
        <v>31000</v>
      </c>
      <c r="AB75" s="46">
        <f>SUM(B75:Y75)</f>
        <v>62000.00000000002</v>
      </c>
    </row>
    <row r="76" spans="1:30">
      <c r="A76" s="16" t="s">
        <v>48</v>
      </c>
      <c r="B76" s="46">
        <f>SUM(Calculations!$S$14:$S$16)/12</f>
        <v>3375</v>
      </c>
      <c r="C76" s="46">
        <f>SUM(Calculations!$S$14:$S$16)/12</f>
        <v>3375</v>
      </c>
      <c r="D76" s="46">
        <f>SUM(Calculations!$S$14:$S$16)/12</f>
        <v>3375</v>
      </c>
      <c r="E76" s="46">
        <f>SUM(Calculations!$S$14:$S$16)/12</f>
        <v>3375</v>
      </c>
      <c r="F76" s="46">
        <f>SUM(Calculations!$S$14:$S$16)/12</f>
        <v>3375</v>
      </c>
      <c r="G76" s="46">
        <f>SUM(Calculations!$S$14:$S$16)/12</f>
        <v>3375</v>
      </c>
      <c r="H76" s="46">
        <f>SUM(Calculations!$S$14:$S$16)/12</f>
        <v>3375</v>
      </c>
      <c r="I76" s="46">
        <f>SUM(Calculations!$S$14:$S$16)/12</f>
        <v>3375</v>
      </c>
      <c r="J76" s="46">
        <f>SUM(Calculations!$S$14:$S$16)/12</f>
        <v>3375</v>
      </c>
      <c r="K76" s="46">
        <f>SUM(Calculations!$S$14:$S$16)/12</f>
        <v>3375</v>
      </c>
      <c r="L76" s="46">
        <f>SUM(Calculations!$S$14:$S$16)/12</f>
        <v>3375</v>
      </c>
      <c r="M76" s="46">
        <f>SUM(Calculations!$S$14:$S$16)/12</f>
        <v>3375</v>
      </c>
      <c r="N76" s="46">
        <f>SUM(Calculations!$S$14:$S$16)/12</f>
        <v>3375</v>
      </c>
      <c r="O76" s="46">
        <f>SUM(Calculations!$S$14:$S$16)/12</f>
        <v>3375</v>
      </c>
      <c r="P76" s="46">
        <f>SUM(Calculations!$S$14:$S$16)/12</f>
        <v>3375</v>
      </c>
      <c r="Q76" s="46">
        <f>SUM(Calculations!$S$14:$S$16)/12</f>
        <v>3375</v>
      </c>
      <c r="R76" s="46">
        <f>SUM(Calculations!$S$14:$S$16)/12</f>
        <v>3375</v>
      </c>
      <c r="S76" s="46">
        <f>SUM(Calculations!$S$14:$S$16)/12</f>
        <v>3375</v>
      </c>
      <c r="T76" s="46">
        <f>SUM(Calculations!$S$14:$S$16)/12</f>
        <v>3375</v>
      </c>
      <c r="U76" s="46">
        <f>SUM(Calculations!$S$14:$S$16)/12</f>
        <v>3375</v>
      </c>
      <c r="V76" s="46">
        <f>SUM(Calculations!$S$14:$S$16)/12</f>
        <v>3375</v>
      </c>
      <c r="W76" s="46">
        <f>SUM(Calculations!$S$14:$S$16)/12</f>
        <v>3375</v>
      </c>
      <c r="X76" s="46">
        <f>SUM(Calculations!$S$14:$S$16)/12</f>
        <v>3375</v>
      </c>
      <c r="Y76" s="46">
        <f>SUM(Calculations!$S$14:$S$16)/12</f>
        <v>3375</v>
      </c>
      <c r="Z76" s="46">
        <f>SUMIF($B$13:$Y$13,"Yes",B76:Y76)</f>
        <v>43875</v>
      </c>
      <c r="AA76" s="46">
        <f>SUM(B76:M76)</f>
        <v>40500</v>
      </c>
      <c r="AB76" s="46">
        <f>SUM(B76:Y76)</f>
        <v>81000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29602.45127243248</v>
      </c>
      <c r="C81" s="46">
        <f>(SUM($AA$18:$AA$29)-SUM($AA$36,$AA$42,$AA$48,$AA$54,$AA$60,$AA$66,$AA$72:$AA$79))*Parameters!$B$37/12</f>
        <v>29602.45127243248</v>
      </c>
      <c r="D81" s="46">
        <f>(SUM($AA$18:$AA$29)-SUM($AA$36,$AA$42,$AA$48,$AA$54,$AA$60,$AA$66,$AA$72:$AA$79))*Parameters!$B$37/12</f>
        <v>29602.45127243248</v>
      </c>
      <c r="E81" s="46">
        <f>(SUM($AA$18:$AA$29)-SUM($AA$36,$AA$42,$AA$48,$AA$54,$AA$60,$AA$66,$AA$72:$AA$79))*Parameters!$B$37/12</f>
        <v>29602.45127243248</v>
      </c>
      <c r="F81" s="46">
        <f>(SUM($AA$18:$AA$29)-SUM($AA$36,$AA$42,$AA$48,$AA$54,$AA$60,$AA$66,$AA$72:$AA$79))*Parameters!$B$37/12</f>
        <v>29602.45127243248</v>
      </c>
      <c r="G81" s="46">
        <f>(SUM($AA$18:$AA$29)-SUM($AA$36,$AA$42,$AA$48,$AA$54,$AA$60,$AA$66,$AA$72:$AA$79))*Parameters!$B$37/12</f>
        <v>29602.45127243248</v>
      </c>
      <c r="H81" s="46">
        <f>(SUM($AA$18:$AA$29)-SUM($AA$36,$AA$42,$AA$48,$AA$54,$AA$60,$AA$66,$AA$72:$AA$79))*Parameters!$B$37/12</f>
        <v>29602.45127243248</v>
      </c>
      <c r="I81" s="46">
        <f>(SUM($AA$18:$AA$29)-SUM($AA$36,$AA$42,$AA$48,$AA$54,$AA$60,$AA$66,$AA$72:$AA$79))*Parameters!$B$37/12</f>
        <v>29602.45127243248</v>
      </c>
      <c r="J81" s="46">
        <f>(SUM($AA$18:$AA$29)-SUM($AA$36,$AA$42,$AA$48,$AA$54,$AA$60,$AA$66,$AA$72:$AA$79))*Parameters!$B$37/12</f>
        <v>29602.45127243248</v>
      </c>
      <c r="K81" s="46">
        <f>(SUM($AA$18:$AA$29)-SUM($AA$36,$AA$42,$AA$48,$AA$54,$AA$60,$AA$66,$AA$72:$AA$79))*Parameters!$B$37/12</f>
        <v>29602.45127243248</v>
      </c>
      <c r="L81" s="46">
        <f>(SUM($AA$18:$AA$29)-SUM($AA$36,$AA$42,$AA$48,$AA$54,$AA$60,$AA$66,$AA$72:$AA$79))*Parameters!$B$37/12</f>
        <v>29602.45127243248</v>
      </c>
      <c r="M81" s="46">
        <f>(SUM($AA$18:$AA$29)-SUM($AA$36,$AA$42,$AA$48,$AA$54,$AA$60,$AA$66,$AA$72:$AA$79))*Parameters!$B$37/12</f>
        <v>29602.45127243248</v>
      </c>
      <c r="N81" s="46">
        <f>(SUM($AA$18:$AA$29)-SUM($AA$36,$AA$42,$AA$48,$AA$54,$AA$60,$AA$66,$AA$72:$AA$79))*Parameters!$B$37/12</f>
        <v>29602.45127243248</v>
      </c>
      <c r="O81" s="46">
        <f>(SUM($AA$18:$AA$29)-SUM($AA$36,$AA$42,$AA$48,$AA$54,$AA$60,$AA$66,$AA$72:$AA$79))*Parameters!$B$37/12</f>
        <v>29602.45127243248</v>
      </c>
      <c r="P81" s="46">
        <f>(SUM($AA$18:$AA$29)-SUM($AA$36,$AA$42,$AA$48,$AA$54,$AA$60,$AA$66,$AA$72:$AA$79))*Parameters!$B$37/12</f>
        <v>29602.45127243248</v>
      </c>
      <c r="Q81" s="46">
        <f>(SUM($AA$18:$AA$29)-SUM($AA$36,$AA$42,$AA$48,$AA$54,$AA$60,$AA$66,$AA$72:$AA$79))*Parameters!$B$37/12</f>
        <v>29602.45127243248</v>
      </c>
      <c r="R81" s="46">
        <f>(SUM($AA$18:$AA$29)-SUM($AA$36,$AA$42,$AA$48,$AA$54,$AA$60,$AA$66,$AA$72:$AA$79))*Parameters!$B$37/12</f>
        <v>29602.45127243248</v>
      </c>
      <c r="S81" s="46">
        <f>(SUM($AA$18:$AA$29)-SUM($AA$36,$AA$42,$AA$48,$AA$54,$AA$60,$AA$66,$AA$72:$AA$79))*Parameters!$B$37/12</f>
        <v>29602.45127243248</v>
      </c>
      <c r="T81" s="46">
        <f>(SUM($AA$18:$AA$29)-SUM($AA$36,$AA$42,$AA$48,$AA$54,$AA$60,$AA$66,$AA$72:$AA$79))*Parameters!$B$37/12</f>
        <v>29602.45127243248</v>
      </c>
      <c r="U81" s="46">
        <f>(SUM($AA$18:$AA$29)-SUM($AA$36,$AA$42,$AA$48,$AA$54,$AA$60,$AA$66,$AA$72:$AA$79))*Parameters!$B$37/12</f>
        <v>29602.45127243248</v>
      </c>
      <c r="V81" s="46">
        <f>(SUM($AA$18:$AA$29)-SUM($AA$36,$AA$42,$AA$48,$AA$54,$AA$60,$AA$66,$AA$72:$AA$79))*Parameters!$B$37/12</f>
        <v>29602.45127243248</v>
      </c>
      <c r="W81" s="46">
        <f>(SUM($AA$18:$AA$29)-SUM($AA$36,$AA$42,$AA$48,$AA$54,$AA$60,$AA$66,$AA$72:$AA$79))*Parameters!$B$37/12</f>
        <v>29602.45127243248</v>
      </c>
      <c r="X81" s="46">
        <f>(SUM($AA$18:$AA$29)-SUM($AA$36,$AA$42,$AA$48,$AA$54,$AA$60,$AA$66,$AA$72:$AA$79))*Parameters!$B$37/12</f>
        <v>29602.45127243248</v>
      </c>
      <c r="Y81" s="46">
        <f>(SUM($AA$18:$AA$29)-SUM($AA$36,$AA$42,$AA$48,$AA$54,$AA$60,$AA$66,$AA$72:$AA$79))*Parameters!$B$37/12</f>
        <v>29602.45127243248</v>
      </c>
      <c r="Z81" s="46">
        <f>SUMIF($B$13:$Y$13,"Yes",B81:Y81)</f>
        <v>384831.8665416221</v>
      </c>
      <c r="AA81" s="46">
        <f>SUM(B81:M81)</f>
        <v>355229.4152691897</v>
      </c>
      <c r="AB81" s="46">
        <f>SUM(B81:Y81)</f>
        <v>710458.8305383793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81153.99293909915</v>
      </c>
      <c r="C88" s="19">
        <f>SUM(C72:C82,C66,C60,C54,C48,C42,C36)</f>
        <v>82551.43799624954</v>
      </c>
      <c r="D88" s="19">
        <f>SUM(D72:D82,D66,D60,D54,D48,D42,D36)</f>
        <v>78433.99293909915</v>
      </c>
      <c r="E88" s="19">
        <f>SUM(E72:E82,E66,E60,E54,E48,E42,E36)</f>
        <v>93430.17292135178</v>
      </c>
      <c r="F88" s="19">
        <f>SUM(F72:F82,F66,F60,F54,F48,F42,F36)</f>
        <v>77865.99293909915</v>
      </c>
      <c r="G88" s="19">
        <f>SUM(G72:G82,G66,G60,G54,G48,G42,G36)</f>
        <v>94062.99293909915</v>
      </c>
      <c r="H88" s="19">
        <f>SUM(H72:H82,H66,H60,H54,H48,H42,H36)</f>
        <v>101153.9929390991</v>
      </c>
      <c r="I88" s="19">
        <f>SUM(I72:I82,I66,I60,I54,I48,I42,I36)</f>
        <v>82551.43799624954</v>
      </c>
      <c r="J88" s="19">
        <f>SUM(J72:J82,J66,J60,J54,J48,J42,J36)</f>
        <v>78433.99293909915</v>
      </c>
      <c r="K88" s="19">
        <f>SUM(K72:K82,K66,K60,K54,K48,K42,K36)</f>
        <v>106930.1729213518</v>
      </c>
      <c r="L88" s="19">
        <f>SUM(L72:L82,L66,L60,L54,L48,L42,L36)</f>
        <v>77865.99293909915</v>
      </c>
      <c r="M88" s="19">
        <f>SUM(M72:M82,M66,M60,M54,M48,M42,M36)</f>
        <v>94062.99293909915</v>
      </c>
      <c r="N88" s="19">
        <f>SUM(N72:N82,N66,N60,N54,N48,N42,N36)</f>
        <v>81153.99293909915</v>
      </c>
      <c r="O88" s="19">
        <f>SUM(O72:O82,O66,O60,O54,O48,O42,O36)</f>
        <v>82551.43799624954</v>
      </c>
      <c r="P88" s="19">
        <f>SUM(P72:P82,P66,P60,P54,P48,P42,P36)</f>
        <v>78433.99293909915</v>
      </c>
      <c r="Q88" s="19">
        <f>SUM(Q72:Q82,Q66,Q60,Q54,Q48,Q42,Q36)</f>
        <v>93430.17292135178</v>
      </c>
      <c r="R88" s="19">
        <f>SUM(R72:R82,R66,R60,R54,R48,R42,R36)</f>
        <v>77865.99293909915</v>
      </c>
      <c r="S88" s="19">
        <f>SUM(S72:S82,S66,S60,S54,S48,S42,S36)</f>
        <v>94062.99293909915</v>
      </c>
      <c r="T88" s="19">
        <f>SUM(T72:T82,T66,T60,T54,T48,T42,T36)</f>
        <v>101153.9929390991</v>
      </c>
      <c r="U88" s="19">
        <f>SUM(U72:U82,U66,U60,U54,U48,U42,U36)</f>
        <v>82551.43799624954</v>
      </c>
      <c r="V88" s="19">
        <f>SUM(V72:V82,V66,V60,V54,V48,V42,V36)</f>
        <v>78433.99293909915</v>
      </c>
      <c r="W88" s="19">
        <f>SUM(W72:W82,W66,W60,W54,W48,W42,W36)</f>
        <v>106930.1729213518</v>
      </c>
      <c r="X88" s="19">
        <f>SUM(X72:X82,X66,X60,X54,X48,X42,X36)</f>
        <v>77865.99293909915</v>
      </c>
      <c r="Y88" s="19">
        <f>SUM(Y72:Y82,Y66,Y60,Y54,Y48,Y42,Y36)</f>
        <v>94062.99293909915</v>
      </c>
      <c r="Z88" s="19">
        <f>SUMIF($B$13:$Y$13,"Yes",B88:Y88)</f>
        <v>1129651.158287095</v>
      </c>
      <c r="AA88" s="19">
        <f>SUM(B88:M88)</f>
        <v>1048497.165347996</v>
      </c>
      <c r="AB88" s="19">
        <f>SUM(B88:Y88)</f>
        <v>2096994.330695992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500000</v>
      </c>
    </row>
    <row r="96" spans="1:30">
      <c r="A96" t="s">
        <v>62</v>
      </c>
      <c r="B96" s="36">
        <f>SUMPRODUCT(Inputs!C19:C21,Calculations!O14:O16)</f>
        <v>2280000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50000</v>
      </c>
    </row>
    <row r="101" spans="1:30" customHeight="1" ht="15.75">
      <c r="A101" s="1" t="s">
        <v>67</v>
      </c>
      <c r="B101" s="19">
        <f>SUM(B94:B100)</f>
        <v>3200000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3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5</v>
      </c>
      <c r="N8" s="154">
        <v>1</v>
      </c>
    </row>
    <row r="9" spans="1:48">
      <c r="A9" s="143" t="s">
        <v>97</v>
      </c>
      <c r="B9" s="16"/>
      <c r="C9" s="143">
        <v>3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30</v>
      </c>
      <c r="D19" s="145"/>
      <c r="E19" s="20"/>
      <c r="F19" s="145" t="s">
        <v>92</v>
      </c>
      <c r="G19" s="20"/>
      <c r="H19" s="20"/>
      <c r="I19" s="145" t="s">
        <v>112</v>
      </c>
      <c r="J19" s="145"/>
      <c r="K19" s="145"/>
      <c r="L19" s="25"/>
    </row>
    <row r="20" spans="1:48">
      <c r="A20" s="143" t="s">
        <v>113</v>
      </c>
      <c r="B20" s="16"/>
      <c r="C20" s="143">
        <v>40</v>
      </c>
      <c r="D20" s="147"/>
      <c r="E20" s="16"/>
      <c r="F20" s="147" t="s">
        <v>92</v>
      </c>
      <c r="G20" s="16"/>
      <c r="H20" s="16"/>
      <c r="I20" s="147" t="s">
        <v>112</v>
      </c>
      <c r="J20" s="147"/>
      <c r="K20" s="147"/>
      <c r="L20" s="30"/>
    </row>
    <row r="21" spans="1:48">
      <c r="A21" s="144" t="s">
        <v>114</v>
      </c>
      <c r="B21" s="23"/>
      <c r="C21" s="144">
        <v>25</v>
      </c>
      <c r="D21" s="150">
        <v>0</v>
      </c>
      <c r="E21" s="23"/>
      <c r="F21" s="150" t="s">
        <v>92</v>
      </c>
      <c r="G21" s="23"/>
      <c r="H21" s="23"/>
      <c r="I21" s="150" t="s">
        <v>112</v>
      </c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80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20000</v>
      </c>
    </row>
    <row r="31" spans="1:48">
      <c r="A31" s="5" t="s">
        <v>121</v>
      </c>
      <c r="B31" s="158">
        <v>10000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129</v>
      </c>
    </row>
    <row r="41" spans="1:48">
      <c r="A41" s="55" t="s">
        <v>130</v>
      </c>
      <c r="B41" s="140">
        <v>20000</v>
      </c>
    </row>
    <row r="42" spans="1:48">
      <c r="A42" s="55" t="s">
        <v>131</v>
      </c>
      <c r="B42" s="139" t="s">
        <v>132</v>
      </c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129</v>
      </c>
    </row>
    <row r="45" spans="1:48">
      <c r="A45" s="56" t="s">
        <v>136</v>
      </c>
      <c r="B45" s="161"/>
    </row>
    <row r="46" spans="1:48" customHeight="1" ht="30">
      <c r="A46" s="57" t="s">
        <v>137</v>
      </c>
      <c r="B46" s="161">
        <v>350000</v>
      </c>
    </row>
    <row r="47" spans="1:48" customHeight="1" ht="30">
      <c r="A47" s="57" t="s">
        <v>138</v>
      </c>
      <c r="B47" s="161">
        <v>500000</v>
      </c>
    </row>
    <row r="48" spans="1:48" customHeight="1" ht="30">
      <c r="A48" s="57" t="s">
        <v>139</v>
      </c>
      <c r="B48" s="161">
        <v>50000</v>
      </c>
    </row>
    <row r="49" spans="1:48" customHeight="1" ht="30">
      <c r="A49" s="57" t="s">
        <v>140</v>
      </c>
      <c r="B49" s="161">
        <v>20000</v>
      </c>
    </row>
    <row r="50" spans="1:48">
      <c r="A50" s="43"/>
      <c r="B50" s="36"/>
    </row>
    <row r="51" spans="1:48">
      <c r="A51" s="58" t="s">
        <v>141</v>
      </c>
      <c r="B51" s="161">
        <v>5000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150</v>
      </c>
      <c r="C65" s="10" t="s">
        <v>151</v>
      </c>
    </row>
    <row r="66" spans="1:48">
      <c r="A66" s="142" t="s">
        <v>132</v>
      </c>
      <c r="B66" s="159">
        <v>125000</v>
      </c>
      <c r="C66" s="163">
        <v>120000</v>
      </c>
      <c r="D66" s="49">
        <f>INDEX(Parameters!$D$79:$D$90,MATCH(Inputs!A66,Parameters!$C$79:$C$90,0))</f>
        <v>1</v>
      </c>
    </row>
    <row r="67" spans="1:48">
      <c r="A67" s="143" t="s">
        <v>152</v>
      </c>
      <c r="B67" s="157">
        <v>110250</v>
      </c>
      <c r="C67" s="165">
        <v>109658</v>
      </c>
      <c r="D67" s="49">
        <f>INDEX(Parameters!$D$79:$D$90,MATCH(Inputs!A67,Parameters!$C$79:$C$90,0))</f>
        <v>2</v>
      </c>
    </row>
    <row r="68" spans="1:48">
      <c r="A68" s="143" t="s">
        <v>153</v>
      </c>
      <c r="B68" s="157">
        <v>425000</v>
      </c>
      <c r="C68" s="165">
        <v>423652</v>
      </c>
      <c r="D68" s="49">
        <f>INDEX(Parameters!$D$79:$D$90,MATCH(Inputs!A68,Parameters!$C$79:$C$90,0))</f>
        <v>3</v>
      </c>
    </row>
    <row r="69" spans="1:48">
      <c r="A69" s="143" t="s">
        <v>94</v>
      </c>
      <c r="B69" s="157">
        <v>134700</v>
      </c>
      <c r="C69" s="165">
        <v>131255</v>
      </c>
      <c r="D69" s="49">
        <f>INDEX(Parameters!$D$79:$D$90,MATCH(Inputs!A69,Parameters!$C$79:$C$90,0))</f>
        <v>4</v>
      </c>
    </row>
    <row r="70" spans="1:48">
      <c r="A70" s="143" t="s">
        <v>154</v>
      </c>
      <c r="B70" s="157">
        <v>142000</v>
      </c>
      <c r="C70" s="165">
        <v>140985</v>
      </c>
      <c r="D70" s="49">
        <f>INDEX(Parameters!$D$79:$D$90,MATCH(Inputs!A70,Parameters!$C$79:$C$90,0))</f>
        <v>5</v>
      </c>
    </row>
    <row r="71" spans="1:48">
      <c r="A71" s="144" t="s">
        <v>154</v>
      </c>
      <c r="B71" s="158">
        <v>144000</v>
      </c>
      <c r="C71" s="167">
        <v>143685</v>
      </c>
      <c r="D71" s="49">
        <f>INDEX(Parameters!$D$79:$D$90,MATCH(Inputs!A71,Parameters!$C$79:$C$90,0))</f>
        <v>5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6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100000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1193.868137160941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55574.5617848418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5000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6000</v>
      </c>
      <c r="Z4" s="33">
        <f>IF(Inputs!I7=Parameters!$F$78,H4*INDEX(Parameters!$A$3:$AI$18,MATCH(Calculations!A4,Parameters!$A$3:$A$18,0),MATCH(Parameters!$Q$3,Parameters!$A$3:$AI$3,0)),0)</f>
        <v>12000</v>
      </c>
      <c r="AA4" s="33">
        <f>IFERROR(IF(Inputs!N7&gt;0,INDEX(Parameters!$A$3:$AI$17,MATCH(Calculations!A4,Parameters!$A$3:$A$17,0),MATCH(Parameters!$R$3,Parameters!$A$3:$AI$3,0)),0)*M4/S4,0)</f>
        <v>497.4450571503922</v>
      </c>
      <c r="AB4" s="33">
        <f>H4*IFERROR(INDEX(Parameters!$A$3:$AI$17,MATCH(Calculations!A4,Parameters!$A$3:$A$17,0),MATCH(Parameters!$O$3,Parameters!$A$3:$AI$3,0)),AVERAGE(Parameters!$O$4:$O$17))*(1-Inputs!$B$25/100)</f>
        <v>7999.999999999998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43252</v>
      </c>
      <c r="C5" s="39">
        <f>IFERROR(DATE(YEAR(B5),MONTH(B5)+ROUND(T5/2,0),DAY(B5)),B5)</f>
        <v>43313</v>
      </c>
      <c r="D5" s="39">
        <f>IFERROR(DATE(YEAR(B5),MONTH(B5)+T5,DAY(B5)),"")</f>
        <v>43374</v>
      </c>
      <c r="E5" s="39">
        <f>IFERROR(IF($S5=0,"",IF($S5=2,DATE(YEAR(B5),MONTH(B5)+6,DAY(B5)),IF($S5=1,B5,""))),"")</f>
        <v>43435</v>
      </c>
      <c r="F5" s="39">
        <f>IFERROR(IF($S5=0,"",IF($S5=2,DATE(YEAR(C5),MONTH(C5)+6,DAY(C5)),IF($S5=1,C5,""))),"")</f>
        <v>43497</v>
      </c>
      <c r="G5" s="39">
        <f>IFERROR(IF($S5=0,"",IF($S5=2,DATE(YEAR(D5),MONTH(D5)+6,DAY(D5)),IF($S5=1,D5,""))),"")</f>
        <v>43556</v>
      </c>
      <c r="H5" s="16">
        <f>Inputs!C8</f>
        <v>3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949.6173861601835</v>
      </c>
      <c r="M5" s="30">
        <f>L5*H5</f>
        <v>2848.85215848055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113669.201123374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909.0000000000002</v>
      </c>
      <c r="W5" s="34">
        <f>IFERROR(J5*H5*Parameters!$B$35+IF(OR(Inputs!F8=Parameters!$E$78,Inputs!F8=Parameters!$E$80),Calculations!H5*Parameters!$B$36,0),0)</f>
        <v>6000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900</v>
      </c>
      <c r="Z5" s="34">
        <f>IF(Inputs!I8=Parameters!$F$78,H5*INDEX(Parameters!$A$3:$AI$18,MATCH(Calculations!A5,Parameters!$A$3:$A$18,0),MATCH(Parameters!$Q$3,Parameters!$A$3:$AI$3,0)),0)</f>
        <v>15000</v>
      </c>
      <c r="AA5" s="34">
        <f>IFERROR(IF(Inputs!N8&gt;0,INDEX(Parameters!$A$3:$AI$17,MATCH(Calculations!A5,Parameters!$A$3:$A$17,0),MATCH(Parameters!$R$3,Parameters!$A$3:$AI$3,0)),0)*M5/S5,0)</f>
        <v>3276.179982252633</v>
      </c>
      <c r="AB5" s="34">
        <f>H5*IFERROR(INDEX(Parameters!$A$3:$AI$17,MATCH(Calculations!A5,Parameters!$A$3:$A$17,0),MATCH(Parameters!$O$3,Parameters!$A$3:$AI$3,0)),AVERAGE(Parameters!$O$4:$O$17))*(1-Inputs!$B$25/100)</f>
        <v>7199.999999999998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Mangoes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43191</v>
      </c>
      <c r="C6" s="39">
        <f>IFERROR(DATE(YEAR(B6),MONTH(B6)+ROUND(T6/2,0),DAY(B6)),B6)</f>
        <v>43191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3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3500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4512.130322416214</v>
      </c>
      <c r="M6" s="30">
        <f>L6*H6</f>
        <v>13536.39096724864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10.12004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130139.3771419852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0</v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N/A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6000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13500</v>
      </c>
      <c r="Z6" s="34">
        <f>IF(Inputs!I9=Parameters!$F$78,H6*INDEX(Parameters!$A$3:$AI$18,MATCH(Calculations!A6,Parameters!$A$3:$A$18,0),MATCH(Parameters!$Q$3,Parameters!$A$3:$AI$3,0)),0)</f>
        <v>15000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4799.999999999999</v>
      </c>
      <c r="AC6" s="22">
        <f>IF($A6=0,1/12,IFERROR(INDEX(Parameters!$X$2:$AI$17,MATCH(Calculations!$A6,Parameters!$A$2:$A$17,0),MONTH(Calculations!AC$3)),1/12))</f>
        <v>0.007633587786259543</v>
      </c>
      <c r="AD6" s="22">
        <f>IF($A6=0,1/12,IFERROR(INDEX(Parameters!$X$2:$AI$17,MATCH(Calculations!$A6,Parameters!$A$2:$A$17,0),MONTH(Calculations!AD$3)),1/12))</f>
        <v>0.007633587786259543</v>
      </c>
      <c r="AE6" s="22">
        <f>IF($A6=0,1/12,IFERROR(INDEX(Parameters!$X$2:$AI$17,MATCH(Calculations!$A6,Parameters!$A$2:$A$17,0),MONTH(Calculations!AE$3)),1/12))</f>
        <v>0.03053435114503817</v>
      </c>
      <c r="AF6" s="22">
        <f>IF($A6=0,1/12,IFERROR(INDEX(Parameters!$X$2:$AI$17,MATCH(Calculations!$A6,Parameters!$A$2:$A$17,0),MONTH(Calculations!AF$3)),1/12))</f>
        <v>0.04580152671755726</v>
      </c>
      <c r="AG6" s="22">
        <f>IF($A6=0,1/12,IFERROR(INDEX(Parameters!$X$2:$AI$17,MATCH(Calculations!$A6,Parameters!$A$2:$A$17,0),MONTH(Calculations!AG$3)),1/12))</f>
        <v>0.07633587786259544</v>
      </c>
      <c r="AH6" s="22">
        <f>IF($A6=0,1/12,IFERROR(INDEX(Parameters!$X$2:$AI$17,MATCH(Calculations!$A6,Parameters!$A$2:$A$17,0),MONTH(Calculations!AH$3)),1/12))</f>
        <v>0.183206106870229</v>
      </c>
      <c r="AI6" s="22">
        <f>IF($A6=0,1/12,IFERROR(INDEX(Parameters!$X$2:$AI$17,MATCH(Calculations!$A6,Parameters!$A$2:$A$17,0),MONTH(Calculations!AI$3)),1/12))</f>
        <v>0.2290076335877863</v>
      </c>
      <c r="AJ6" s="22">
        <f>IF($A6=0,1/12,IFERROR(INDEX(Parameters!$X$2:$AI$17,MATCH(Calculations!$A6,Parameters!$A$2:$A$17,0),MONTH(Calculations!AJ$3)),1/12))</f>
        <v>0.2290076335877863</v>
      </c>
      <c r="AK6" s="22">
        <f>IF($A6=0,1/12,IFERROR(INDEX(Parameters!$X$2:$AI$17,MATCH(Calculations!$A6,Parameters!$A$2:$A$17,0),MONTH(Calculations!AK$3)),1/12))</f>
        <v>0.1374045801526718</v>
      </c>
      <c r="AL6" s="22">
        <f>IF($A6=0,1/12,IFERROR(INDEX(Parameters!$X$2:$AI$17,MATCH(Calculations!$A6,Parameters!$A$2:$A$17,0),MONTH(Calculations!AL$3)),1/12))</f>
        <v>0.03816793893129772</v>
      </c>
      <c r="AM6" s="22">
        <f>IF($A6=0,1/12,IFERROR(INDEX(Parameters!$X$2:$AI$17,MATCH(Calculations!$A6,Parameters!$A$2:$A$17,0),MONTH(Calculations!AM$3)),1/12))</f>
        <v>0.007633587786259543</v>
      </c>
      <c r="AN6" s="22">
        <f>IF($A6=0,1/12,IFERROR(INDEX(Parameters!$X$2:$AI$17,MATCH(Calculations!$A6,Parameters!$A$2:$A$17,0),MONTH(Calculations!AN$3)),1/12))</f>
        <v>0.007633587786259543</v>
      </c>
      <c r="AO6" s="22">
        <f>IF($A6=0,1/12,IFERROR(INDEX(Parameters!$X$2:$AI$17,MATCH(Calculations!$A6,Parameters!$A$2:$A$17,0),MONTH(Calculations!AO$3)),1/12))</f>
        <v>0.007633587786259543</v>
      </c>
      <c r="AP6" s="22">
        <f>IF($A6=0,1/12,IFERROR(INDEX(Parameters!$X$2:$AI$17,MATCH(Calculations!$A6,Parameters!$A$2:$A$17,0),MONTH(Calculations!AP$3)),1/12))</f>
        <v>0.007633587786259543</v>
      </c>
      <c r="AQ6" s="22">
        <f>IF($A6=0,1/12,IFERROR(INDEX(Parameters!$X$2:$AI$17,MATCH(Calculations!$A6,Parameters!$A$2:$A$17,0),MONTH(Calculations!AQ$3)),1/12))</f>
        <v>0.03053435114503817</v>
      </c>
      <c r="AR6" s="22">
        <f>IF($A6=0,1/12,IFERROR(INDEX(Parameters!$X$2:$AI$17,MATCH(Calculations!$A6,Parameters!$A$2:$A$17,0),MONTH(Calculations!AR$3)),1/12))</f>
        <v>0.04580152671755726</v>
      </c>
      <c r="AS6" s="22">
        <f>IF($A6=0,1/12,IFERROR(INDEX(Parameters!$X$2:$AI$17,MATCH(Calculations!$A6,Parameters!$A$2:$A$17,0),MONTH(Calculations!AS$3)),1/12))</f>
        <v>0.07633587786259544</v>
      </c>
      <c r="AT6" s="22">
        <f>IF($A6=0,1/12,IFERROR(INDEX(Parameters!$X$2:$AI$17,MATCH(Calculations!$A6,Parameters!$A$2:$A$17,0),MONTH(Calculations!AT$3)),1/12))</f>
        <v>0.183206106870229</v>
      </c>
      <c r="AU6" s="22">
        <f>IF($A6=0,1/12,IFERROR(INDEX(Parameters!$X$2:$AI$17,MATCH(Calculations!$A6,Parameters!$A$2:$A$17,0),MONTH(Calculations!AU$3)),1/12))</f>
        <v>0.2290076335877863</v>
      </c>
      <c r="AV6" s="22">
        <f>IF($A6=0,1/12,IFERROR(INDEX(Parameters!$X$2:$AI$17,MATCH(Calculations!$A6,Parameters!$A$2:$A$17,0),MONTH(Calculations!AV$3)),1/12))</f>
        <v>0.2290076335877863</v>
      </c>
      <c r="AW6" s="22">
        <f>IF($A6=0,1/12,IFERROR(INDEX(Parameters!$X$2:$AI$17,MATCH(Calculations!$A6,Parameters!$A$2:$A$17,0),MONTH(Calculations!AW$3)),1/12))</f>
        <v>0.1374045801526718</v>
      </c>
      <c r="AX6" s="22">
        <f>IF($A6=0,1/12,IFERROR(INDEX(Parameters!$X$2:$AI$17,MATCH(Calculations!$A6,Parameters!$A$2:$A$17,0),MONTH(Calculations!AX$3)),1/12))</f>
        <v>0.03816793893129772</v>
      </c>
      <c r="AY6" s="22">
        <f>IF($A6=0,1/12,IFERROR(INDEX(Parameters!$X$2:$AI$17,MATCH(Calculations!$A6,Parameters!$A$2:$A$17,0),MONTH(Calculations!AY$3)),1/12))</f>
        <v>0.007633587786259543</v>
      </c>
      <c r="AZ6" s="22">
        <f>IF($A6=0,1/12,IFERROR(INDEX(Parameters!$X$2:$AI$17,MATCH(Calculations!$A6,Parameters!$A$2:$A$17,0),MONTH(Calculations!AZ$3)),1/12))</f>
        <v>0.007633587786259543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30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3.6</v>
      </c>
      <c r="H14" s="121">
        <f>IFERROR(IF(B14="meat",INDEX(Parameters!$A$22:$P$29,MATCH(Calculations!A14,Parameters!$A$22:$A$29,0),MATCH(Parameters!$I$22,Parameters!$A$22:$P$22,0))*G14,""),"")</f>
        <v>359.9999999999999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827999.9999999998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273750</v>
      </c>
      <c r="R14" s="63">
        <f>IFERROR(D14*INDEX(Parameters!$A$22:$P$29,MATCH(Calculations!$A14,Parameters!$A$22:$A$29,0),MATCH(Parameters!$M$22,Parameters!$A$22:$P$22,0)),"")</f>
        <v>18000</v>
      </c>
      <c r="S14" s="63">
        <f>IFERROR(D14*INDEX(Parameters!$A$22:$P$29,MATCH(Calculations!$A14,Parameters!$A$22:$A$29,0),MATCH(Parameters!$N$22,Parameters!$A$22:$P$22,0)),"")</f>
        <v>21000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40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2.3</v>
      </c>
      <c r="H15" s="121">
        <f>IFERROR(IF(B15="meat",INDEX(Parameters!$A$22:$P$29,MATCH(Calculations!A15,Parameters!$A$22:$A$29,0),MATCH(Parameters!$I$22,Parameters!$A$22:$P$22,0))*G15,""),"")</f>
        <v>18.4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92000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</v>
      </c>
      <c r="R15" s="64">
        <f>IFERROR(D15*INDEX(Parameters!$A$22:$P$29,MATCH(Calculations!$A15,Parameters!$A$22:$A$29,0),MATCH(Parameters!$M$22,Parameters!$A$22:$P$22,0)),"")</f>
        <v>8000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25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2.3</v>
      </c>
      <c r="H16" s="122">
        <f>IFERROR(IF(B16="meat",INDEX(Parameters!$A$22:$P$29,MATCH(Calculations!A16,Parameters!$A$22:$A$29,0),MATCH(Parameters!$I$22,Parameters!$A$22:$P$22,0))*G16,""),"")</f>
        <v>34.5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12000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107812.5</v>
      </c>
      <c r="Q16" s="64">
        <f>IFERROR(D16*INDEX(Parameters!$A$22:$P$29,MATCH(Calculations!$A16,Parameters!$A$22:$A$29,0),MATCH(Parameters!$L$22,Parameters!$A$22:$P$22,0))*IF(Inputs!I21="Always",1,IF(Inputs!I21="Sometimes",0.5,0))*365,"")</f>
        <v>22812.5</v>
      </c>
      <c r="R16" s="64">
        <f>IFERROR(D16*INDEX(Parameters!$A$22:$P$29,MATCH(Calculations!$A16,Parameters!$A$22:$A$29,0),MATCH(Parameters!$M$22,Parameters!$A$22:$P$22,0)),"")</f>
        <v>5000</v>
      </c>
      <c r="S16" s="64">
        <f>IFERROR(D16*INDEX(Parameters!$A$22:$P$29,MATCH(Calculations!$A16,Parameters!$A$22:$A$29,0),MATCH(Parameters!$N$22,Parameters!$A$22:$P$22,0)),"")</f>
        <v>7500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25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2.3</v>
      </c>
      <c r="H17" s="123">
        <f>IFERROR(IF(B17="meat",INDEX(Parameters!$A$22:$P$29,MATCH(Calculations!A17,Parameters!$A$22:$A$29,0),MATCH(Parameters!$I$22,Parameters!$A$22:$P$22,0))*G17,""),"")</f>
        <v>34.5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43466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215625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Kitengela</v>
      </c>
    </row>
    <row r="33" spans="1:52">
      <c r="A33">
        <v>1</v>
      </c>
      <c r="B33" s="128">
        <f>G34</f>
        <v>42966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42948</v>
      </c>
      <c r="F33" t="s">
        <v>160</v>
      </c>
      <c r="G33" s="128">
        <f>IF(Inputs!B79="","",DATE(YEAR(Inputs!B79),MONTH(Inputs!B79),DAY(Inputs!B79)))</f>
        <v>42935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42997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42979</v>
      </c>
      <c r="F34" t="s">
        <v>161</v>
      </c>
      <c r="G34" s="128">
        <f>IF(Inputs!B80="","",DATE(YEAR(Inputs!B80),MONTH(Inputs!B80),DAY(Inputs!B80)))</f>
        <v>42966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43027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43009</v>
      </c>
      <c r="F35" t="s">
        <v>163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43058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43040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43088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43070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43119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43101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43150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43132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43178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43160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43209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43191</v>
      </c>
      <c r="F41" t="s">
        <v>227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43239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43221</v>
      </c>
      <c r="F42" t="s">
        <v>228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43270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43300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97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201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295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113</v>
      </c>
      <c r="B27" s="71" t="s">
        <v>295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114</v>
      </c>
      <c r="B28" s="71" t="s">
        <v>295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295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99</v>
      </c>
      <c r="B41" s="191" t="s">
        <v>129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113</v>
      </c>
      <c r="B46" s="72">
        <v>6000</v>
      </c>
      <c r="C46" s="72">
        <v>12000</v>
      </c>
    </row>
    <row r="47" spans="1:36">
      <c r="A47" t="s">
        <v>114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310</v>
      </c>
      <c r="H52" s="12" t="s">
        <v>134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229</v>
      </c>
      <c r="E53" s="10" t="s">
        <v>188</v>
      </c>
      <c r="F53" s="10" t="s">
        <v>248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129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129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129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129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129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129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129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166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225</v>
      </c>
      <c r="J76" s="11" t="s">
        <v>344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129</v>
      </c>
      <c r="F77" s="12" t="s">
        <v>129</v>
      </c>
      <c r="G77" s="12" t="s">
        <v>346</v>
      </c>
      <c r="H77" s="12" t="s">
        <v>134</v>
      </c>
      <c r="I77" s="12" t="s">
        <v>347</v>
      </c>
      <c r="J77" s="136" t="s">
        <v>348</v>
      </c>
      <c r="K77" s="12" t="s">
        <v>129</v>
      </c>
      <c r="AJ77" s="12"/>
    </row>
    <row r="78" spans="1:36">
      <c r="A78" t="s">
        <v>129</v>
      </c>
      <c r="B78" s="176">
        <v>5</v>
      </c>
      <c r="C78" s="134" t="s">
        <v>349</v>
      </c>
      <c r="D78" s="133"/>
      <c r="E78" s="12" t="s">
        <v>350</v>
      </c>
      <c r="F78" s="12" t="s">
        <v>93</v>
      </c>
      <c r="G78" s="12" t="s">
        <v>112</v>
      </c>
      <c r="H78" s="12" t="s">
        <v>311</v>
      </c>
      <c r="I78" s="12" t="s">
        <v>351</v>
      </c>
      <c r="J78" s="70" t="s">
        <v>352</v>
      </c>
      <c r="K78" s="12" t="s">
        <v>129</v>
      </c>
      <c r="AJ78" s="12"/>
    </row>
    <row r="79" spans="1:36">
      <c r="B79" s="176">
        <v>10</v>
      </c>
      <c r="C79" s="12" t="s">
        <v>132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166</v>
      </c>
      <c r="J79" s="70" t="s">
        <v>356</v>
      </c>
      <c r="K79" s="12" t="s">
        <v>129</v>
      </c>
      <c r="AJ79" s="12"/>
    </row>
    <row r="80" spans="1:36">
      <c r="B80" s="176">
        <v>20</v>
      </c>
      <c r="C80" s="12" t="s">
        <v>152</v>
      </c>
      <c r="D80" s="12">
        <f>D79+1</f>
        <v>2</v>
      </c>
      <c r="E80" s="12" t="s">
        <v>91</v>
      </c>
      <c r="F80" s="12" t="s">
        <v>357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153</v>
      </c>
      <c r="D81" s="12">
        <f>D80+1</f>
        <v>3</v>
      </c>
      <c r="J81" s="70" t="s">
        <v>358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154</v>
      </c>
      <c r="D83" s="12">
        <f>D82+1</f>
        <v>5</v>
      </c>
    </row>
    <row r="84" spans="1:36">
      <c r="B84" s="176">
        <v>60</v>
      </c>
      <c r="C84" s="12" t="s">
        <v>96</v>
      </c>
      <c r="D84" s="12">
        <f>D83+1</f>
        <v>6</v>
      </c>
    </row>
    <row r="85" spans="1:36">
      <c r="B85" s="176">
        <v>70</v>
      </c>
      <c r="C85" s="12" t="s">
        <v>359</v>
      </c>
      <c r="D85" s="12">
        <f>D84+1</f>
        <v>7</v>
      </c>
    </row>
    <row r="86" spans="1:36">
      <c r="B86" s="176">
        <v>80</v>
      </c>
      <c r="C86" s="12" t="s">
        <v>360</v>
      </c>
      <c r="D86" s="12">
        <f>D85+1</f>
        <v>8</v>
      </c>
    </row>
    <row r="87" spans="1:36">
      <c r="B87" s="176">
        <v>89.99999999999999</v>
      </c>
      <c r="C87" s="12" t="s">
        <v>361</v>
      </c>
      <c r="D87" s="12">
        <f>D86+1</f>
        <v>9</v>
      </c>
    </row>
    <row r="88" spans="1:36">
      <c r="B88" s="176">
        <v>99.99999999999999</v>
      </c>
      <c r="C88" s="12" t="s">
        <v>362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