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<sst xmlns="http://schemas.openxmlformats.org/spreadsheetml/2006/main" uniqueCount="369">
  <si>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</si>
  <si>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</si>
  <si>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</si>
  <si>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</si>
  <si>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</si>
  <si>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</si>
  <si>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</si>
  <si>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</si>
  <si>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</si>
  <si>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</si>
  <si>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</si>
  <si>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</si>
  <si>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</si>
  <si>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</si>
  <si>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</si>
  <si>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</si>
  <si>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</si>
  <si>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</si>
  <si>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</si>
  <si>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</si>
  <si>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</si>
  <si>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</si>
  <si>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</si>
  <si>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</si>
  <si>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</si>
  <si>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</si>
  <si>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</si>
  <si>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</si>
  <si>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</si>
  <si>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</si>
  <si>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</si>
  <si>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</si>
  <si>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</si>
  <si>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</si>
  <si>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</si>
  <si>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</si>
  <si>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</si>
  <si>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</si>
  <si>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</si>
  <si>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</si>
  <si>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</si>
  <si>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</si>
  <si>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</si>
  <si>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</si>
  <si>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</si>
  <si>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</si>
  <si>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</si>
  <si>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</si>
  <si>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</si>
  <si>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</si>
  <si>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</si>
  <si>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</si>
  <si>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</si>
  <si>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</si>
  <si>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</si>
  <si>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</si>
  <si>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</si>
  <si>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</si>
  <si>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</si>
  <si>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</si>
  <si>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</si>
  <si>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</si>
  <si>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</si>
  <si>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</si>
  <si>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</si>
  <si>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</si>
  <si>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</si>
  <si>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</si>
  <si>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</si>
  <si>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</si>
  <si>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</si>
  <si>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</si>
  <si>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</si>
  <si>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</si>
  <si>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</si>
  <si>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</si>
  <si>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</si>
  <si>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</si>
  <si>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</si>
  <si>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</si>
  <si>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</si>
  <si>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</si>
  <si>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</si>
  <si>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</si>
  <si>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</si>
  <si>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</si>
  <si>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</si>
  <si>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</si>
  <si>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</si>
  <si>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</si>
  <si>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</si>
  <si>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</si>
  <si>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</si>
  <si>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without the use of a pump</t>
  </si>
  <si>
    <t>January</t>
  </si>
  <si>
    <t>Bananas</t>
  </si>
  <si>
    <t>September</t>
  </si>
  <si>
    <t>Tomatoes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</si>
  <si>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</si>
  <si>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</si>
  <si>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</si>
  <si>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</si>
  <si>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</si>
  <si>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</si>
  <si>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</si>
  <si>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</si>
  <si>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</si>
  <si>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</si>
  <si>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</si>
  <si>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</si>
  <si>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</si>
  <si>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animals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</si>
  <si>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</si>
  <si>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</si>
  <si>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</si>
  <si>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</si>
  <si>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</si>
  <si>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Civil Servant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</si>
  <si>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</si>
  <si>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</si>
  <si>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</si>
  <si>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</si>
  <si>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</si>
  <si>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</si>
  <si>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</si>
  <si>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</si>
  <si>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</si>
  <si>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</si>
  <si>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</si>
  <si>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</si>
  <si>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</si>
  <si>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</si>
  <si>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</si>
  <si>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</si>
  <si>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</si>
  <si>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</si>
  <si>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</si>
  <si>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</si>
  <si>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</si>
  <si>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</si>
  <si>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</si>
  <si>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</si>
  <si>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</si>
  <si>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</si>
  <si>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</si>
  <si>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6/26/17</t>
  </si>
  <si>
    <t>M/Banking</t>
  </si>
  <si>
    <t>Well Serviced</t>
  </si>
  <si>
    <t>Mpesa &amp; bank cash flows (from past statements)</t>
  </si>
  <si>
    <t>Cash inflows</t>
  </si>
  <si>
    <t>Cash outflows</t>
  </si>
  <si>
    <t>July</t>
  </si>
  <si>
    <t>June</t>
  </si>
  <si>
    <t>May</t>
  </si>
  <si>
    <t>April</t>
  </si>
  <si>
    <t>March</t>
  </si>
  <si>
    <t>February</t>
  </si>
  <si>
    <t>Loan info</t>
  </si>
  <si>
    <t>Branch ID</t>
  </si>
  <si>
    <t>Submission date</t>
  </si>
  <si>
    <t>2017/7/21</t>
  </si>
  <si>
    <t>Loan terms</t>
  </si>
  <si>
    <t>Expected disbursement date</t>
  </si>
  <si>
    <t>2017/7/28</t>
  </si>
  <si>
    <t>Expected first repayment date</t>
  </si>
  <si>
    <t>2017/9/5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</si>
  <si>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</si>
  <si>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</si>
  <si>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</si>
  <si>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</si>
  <si>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</si>
  <si>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</si>
  <si>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</si>
  <si>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</si>
  <si>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</si>
  <si>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</si>
  <si>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</si>
  <si>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</si>
  <si>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</si>
  <si>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</si>
  <si>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</si>
  <si>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</si>
  <si>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</si>
  <si>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</si>
  <si>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</si>
  <si>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</si>
  <si>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</si>
  <si>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</si>
  <si>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</si>
  <si>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</si>
  <si>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</si>
  <si>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</si>
  <si>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</si>
  <si>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</si>
  <si>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</si>
  <si>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</si>
  <si>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</si>
  <si>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</si>
  <si>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</si>
  <si>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</si>
  <si>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</si>
  <si>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</si>
  <si>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</si>
  <si>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</si>
  <si>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</si>
  <si>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</si>
  <si>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</si>
  <si>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</si>
  <si>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</si>
  <si>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</si>
  <si>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</si>
  <si>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</si>
  <si>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</si>
  <si>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</si>
  <si>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</si>
  <si>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</si>
  <si>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</si>
  <si>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</si>
  <si>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</si>
  <si>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</si>
  <si>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</si>
  <si>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</si>
  <si>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</si>
  <si>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</si>
  <si>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</si>
  <si>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</si>
  <si>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</si>
  <si>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</si>
  <si>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</si>
  <si>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</si>
  <si>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</si>
  <si>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</si>
  <si>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</si>
  <si>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</si>
  <si>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</si>
  <si>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</si>
  <si>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</si>
  <si>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</si>
  <si>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</si>
  <si>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</si>
  <si>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</si>
  <si>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</si>
  <si>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</si>
  <si>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</si>
  <si>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</si>
  <si>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</si>
  <si>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</si>
  <si>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</si>
  <si>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</si>
  <si>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</si>
  <si>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</si>
  <si>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</si>
  <si>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</si>
  <si>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</si>
  <si>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</si>
  <si>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</si>
  <si>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</si>
  <si>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</si>
  <si>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</si>
  <si>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</si>
  <si>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</si>
  <si>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</si>
  <si>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</si>
  <si>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</si>
  <si>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</si>
  <si>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</si>
  <si>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</si>
  <si>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</si>
  <si>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</si>
  <si>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</si>
  <si>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</si>
  <si>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</si>
  <si>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</si>
  <si>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</si>
  <si>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</si>
  <si>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</si>
  <si>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</si>
  <si>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</si>
  <si>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</si>
  <si>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</si>
  <si>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</si>
  <si>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</si>
  <si>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</si>
  <si>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</si>
  <si>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</si>
  <si>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</si>
  <si>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</si>
  <si>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</si>
  <si>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</si>
  <si>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</si>
  <si>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</si>
  <si>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</si>
  <si>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</si>
  <si>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</si>
  <si>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</si>
  <si>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</si>
  <si>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</si>
  <si>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</si>
  <si>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</si>
  <si>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</si>
  <si>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</si>
  <si>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</si>
  <si>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</si>
  <si>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</si>
  <si>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</si>
  <si>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</si>
  <si>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</si>
  <si>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</si>
  <si>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</si>
  <si>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</si>
  <si>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</si>
  <si>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</si>
  <si>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</si>
  <si>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</si>
  <si>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</si>
  <si>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</si>
  <si>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</si>
  <si>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</si>
  <si>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</si>
  <si>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</si>
  <si>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</si>
  <si>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</si>
  <si>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</si>
  <si>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</si>
  <si>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</si>
  <si>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</si>
  <si>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</si>
  <si>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</si>
  <si>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</si>
  <si>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</si>
  <si>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</si>
  <si>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</si>
  <si>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</si>
  <si>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</si>
  <si>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</si>
  <si>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</si>
  <si>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</si>
  <si>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</si>
  <si>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</si>
  <si>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</si>
  <si>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</si>
  <si>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</si>
  <si>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</si>
  <si>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</si>
  <si>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</si>
  <si>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</si>
  <si>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</si>
  <si>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</si>
  <si>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</si>
  <si>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</si>
  <si>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</si>
  <si>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</si>
  <si>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</si>
  <si>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</si>
  <si>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</si>
  <si>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</si>
  <si>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</si>
  <si>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</si>
  <si>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</si>
  <si>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</si>
  <si>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</si>
  <si>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</si>
  <si>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</si>
  <si>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</si>
  <si>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NGO</t>
  </si>
  <si>
    <t>August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</si>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</sst>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Bananas, Tomatoes,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Civil Servant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0.6542483867126834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0.1585341527196653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133333.3333333333</v>
      </c>
    </row>
    <row r="17" spans="1:7">
      <c r="B17" s="1" t="s">
        <v>11</v>
      </c>
      <c r="C17" s="36">
        <f>SUM(Output!B6:M6)</f>
        <v>741758.1708317777</v>
      </c>
    </row>
    <row r="18" spans="1:7">
      <c r="B18" s="1" t="s">
        <v>12</v>
      </c>
      <c r="C18" s="36">
        <f>MIN(Output!B6:M6)</f>
        <v>22224.31689823457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134274.5805909491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31173</v>
      </c>
    </row>
    <row r="25" spans="1:7">
      <c r="B25" s="1" t="s">
        <v>18</v>
      </c>
      <c r="C25" s="36">
        <f>MAX(Inputs!A56:A60)</f>
        <v>31173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110499.6153662743</v>
      </c>
      <c r="C6" s="51">
        <f>C30-C88</f>
        <v>35471.19189823457</v>
      </c>
      <c r="D6" s="51">
        <f>D30-D88</f>
        <v>22224.31689823457</v>
      </c>
      <c r="E6" s="51">
        <f>E30-E88</f>
        <v>27574.31689823457</v>
      </c>
      <c r="F6" s="51">
        <f>F30-F88</f>
        <v>39835.06376396181</v>
      </c>
      <c r="G6" s="51">
        <f>G30-G88</f>
        <v>134274.5805909491</v>
      </c>
      <c r="H6" s="51">
        <f>H30-H88</f>
        <v>110499.6153662743</v>
      </c>
      <c r="I6" s="51">
        <f>I30-I88</f>
        <v>35471.19189823457</v>
      </c>
      <c r="J6" s="51">
        <f>J30-J88</f>
        <v>24224.31689823457</v>
      </c>
      <c r="K6" s="51">
        <f>K30-K88</f>
        <v>27574.31689823457</v>
      </c>
      <c r="L6" s="51">
        <f>L30-L88</f>
        <v>39835.06376396181</v>
      </c>
      <c r="M6" s="51">
        <f>M30-M88</f>
        <v>134274.5805909491</v>
      </c>
      <c r="N6" s="51">
        <f>N30-N88</f>
        <v>110499.6153662743</v>
      </c>
      <c r="O6" s="51">
        <f>O30-O88</f>
        <v>35471.19189823457</v>
      </c>
      <c r="P6" s="51">
        <f>P30-P88</f>
        <v>22224.31689823457</v>
      </c>
      <c r="Q6" s="51">
        <f>Q30-Q88</f>
        <v>27574.31689823457</v>
      </c>
      <c r="R6" s="51">
        <f>R30-R88</f>
        <v>39835.06376396181</v>
      </c>
      <c r="S6" s="51">
        <f>S30-S88</f>
        <v>134274.5805909491</v>
      </c>
      <c r="T6" s="51">
        <f>T30-T88</f>
        <v>110499.6153662743</v>
      </c>
      <c r="U6" s="51">
        <f>U30-U88</f>
        <v>35471.19189823457</v>
      </c>
      <c r="V6" s="51">
        <f>V30-V88</f>
        <v>24224.31689823457</v>
      </c>
      <c r="W6" s="51">
        <f>W30-W88</f>
        <v>27574.31689823457</v>
      </c>
      <c r="X6" s="51">
        <f>X30-X88</f>
        <v>39835.06376396181</v>
      </c>
      <c r="Y6" s="51">
        <f>Y30-Y88</f>
        <v>134274.5805909491</v>
      </c>
      <c r="Z6" s="51">
        <f>SUMIF($B$13:$Y$13,"Yes",B6:Y6)</f>
        <v>1483516.341663556</v>
      </c>
      <c r="AA6" s="51">
        <f>AA30-AA88</f>
        <v>741758.1708317776</v>
      </c>
      <c r="AB6" s="51">
        <f>AB30-AB88</f>
        <v>1483516.341663556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39169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95001</v>
      </c>
      <c r="J7" s="80">
        <f>IF(ISERROR(VLOOKUP(MONTH(J5),Inputs!$D$66:$D$71,1,0)),"",INDEX(Inputs!$B$66:$B$71,MATCH(MONTH(Output!J5),Inputs!$D$66:$D$71,0))-INDEX(Inputs!$C$66:$C$71,MATCH(MONTH(Output!J5),Inputs!$D$66:$D$71,0)))</f>
        <v>145804</v>
      </c>
      <c r="K7" s="80">
        <f>IF(ISERROR(VLOOKUP(MONTH(K5),Inputs!$D$66:$D$71,1,0)),"",INDEX(Inputs!$B$66:$B$71,MATCH(MONTH(Output!K5),Inputs!$D$66:$D$71,0))-INDEX(Inputs!$C$66:$C$71,MATCH(MONTH(Output!K5),Inputs!$D$66:$D$71,0)))</f>
        <v>83139</v>
      </c>
      <c r="L7" s="80">
        <f>IF(ISERROR(VLOOKUP(MONTH(L5),Inputs!$D$66:$D$71,1,0)),"",INDEX(Inputs!$B$66:$B$71,MATCH(MONTH(Output!L5),Inputs!$D$66:$D$71,0))-INDEX(Inputs!$C$66:$C$71,MATCH(MONTH(Output!L5),Inputs!$D$66:$D$71,0)))</f>
        <v>85053</v>
      </c>
      <c r="M7" s="80">
        <f>IF(ISERROR(VLOOKUP(MONTH(M5),Inputs!$D$66:$D$71,1,0)),"",INDEX(Inputs!$B$66:$B$71,MATCH(MONTH(Output!M5),Inputs!$D$66:$D$71,0))-INDEX(Inputs!$C$66:$C$71,MATCH(MONTH(Output!M5),Inputs!$D$66:$D$71,0)))</f>
        <v>77482</v>
      </c>
      <c r="N7" s="80">
        <f>IF(ISERROR(VLOOKUP(MONTH(N5),Inputs!$D$66:$D$71,1,0)),"",INDEX(Inputs!$B$66:$B$71,MATCH(MONTH(Output!N5),Inputs!$D$66:$D$71,0))-INDEX(Inputs!$C$66:$C$71,MATCH(MONTH(Output!N5),Inputs!$D$66:$D$71,0)))</f>
        <v>39169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95001</v>
      </c>
      <c r="V7" s="80">
        <f>IF(ISERROR(VLOOKUP(MONTH(V5),Inputs!$D$66:$D$71,1,0)),"",INDEX(Inputs!$B$66:$B$71,MATCH(MONTH(Output!V5),Inputs!$D$66:$D$71,0))-INDEX(Inputs!$C$66:$C$71,MATCH(MONTH(Output!V5),Inputs!$D$66:$D$71,0)))</f>
        <v>145804</v>
      </c>
      <c r="W7" s="80">
        <f>IF(ISERROR(VLOOKUP(MONTH(W5),Inputs!$D$66:$D$71,1,0)),"",INDEX(Inputs!$B$66:$B$71,MATCH(MONTH(Output!W5),Inputs!$D$66:$D$71,0))-INDEX(Inputs!$C$66:$C$71,MATCH(MONTH(Output!W5),Inputs!$D$66:$D$71,0)))</f>
        <v>83139</v>
      </c>
      <c r="X7" s="80">
        <f>IF(ISERROR(VLOOKUP(MONTH(X5),Inputs!$D$66:$D$71,1,0)),"",INDEX(Inputs!$B$66:$B$71,MATCH(MONTH(Output!X5),Inputs!$D$66:$D$71,0))-INDEX(Inputs!$C$66:$C$71,MATCH(MONTH(Output!X5),Inputs!$D$66:$D$71,0)))</f>
        <v>85053</v>
      </c>
      <c r="Y7" s="80">
        <f>IF(ISERROR(VLOOKUP(MONTH(Y5),Inputs!$D$66:$D$71,1,0)),"",INDEX(Inputs!$B$66:$B$71,MATCH(MONTH(Output!Y5),Inputs!$D$66:$D$71,0))-INDEX(Inputs!$C$66:$C$71,MATCH(MONTH(Output!Y5),Inputs!$D$66:$D$71,0)))</f>
        <v>77482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3000000</v>
      </c>
      <c r="AA9" s="75">
        <f>SUM(B9:M9)</f>
        <v>3000000</v>
      </c>
      <c r="AB9" s="75">
        <f>SUM(B9:Y9)</f>
        <v>3000000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133333.3333333333</v>
      </c>
      <c r="E10" s="37">
        <f>SUMPRODUCT((Calculations!$D$33:$D$84=Output!E5)+0,Calculations!$C$33:$C$84)</f>
        <v>133333.3333333333</v>
      </c>
      <c r="F10" s="37">
        <f>SUMPRODUCT((Calculations!$D$33:$D$84=Output!F5)+0,Calculations!$C$33:$C$84)</f>
        <v>133333.3333333333</v>
      </c>
      <c r="G10" s="37">
        <f>SUMPRODUCT((Calculations!$D$33:$D$84=Output!G5)+0,Calculations!$C$33:$C$84)</f>
        <v>133333.3333333333</v>
      </c>
      <c r="H10" s="37">
        <f>SUMPRODUCT((Calculations!$D$33:$D$84=Output!H5)+0,Calculations!$C$33:$C$84)</f>
        <v>133333.3333333333</v>
      </c>
      <c r="I10" s="37">
        <f>SUMPRODUCT((Calculations!$D$33:$D$84=Output!I5)+0,Calculations!$C$33:$C$84)</f>
        <v>133333.3333333333</v>
      </c>
      <c r="J10" s="37">
        <f>SUMPRODUCT((Calculations!$D$33:$D$84=Output!J5)+0,Calculations!$C$33:$C$84)</f>
        <v>133333.3333333333</v>
      </c>
      <c r="K10" s="37">
        <f>SUMPRODUCT((Calculations!$D$33:$D$84=Output!K5)+0,Calculations!$C$33:$C$84)</f>
        <v>133333.3333333333</v>
      </c>
      <c r="L10" s="37">
        <f>SUMPRODUCT((Calculations!$D$33:$D$84=Output!L5)+0,Calculations!$C$33:$C$84)</f>
        <v>133333.3333333333</v>
      </c>
      <c r="M10" s="37">
        <f>SUMPRODUCT((Calculations!$D$33:$D$84=Output!M5)+0,Calculations!$C$33:$C$84)</f>
        <v>133333.3333333333</v>
      </c>
      <c r="N10" s="37">
        <f>SUMPRODUCT((Calculations!$D$33:$D$84=Output!N5)+0,Calculations!$C$33:$C$84)</f>
        <v>133333.3333333333</v>
      </c>
      <c r="O10" s="37">
        <f>SUMPRODUCT((Calculations!$D$33:$D$84=Output!O5)+0,Calculations!$C$33:$C$84)</f>
        <v>133333.3333333333</v>
      </c>
      <c r="P10" s="37">
        <f>SUMPRODUCT((Calculations!$D$33:$D$84=Output!P5)+0,Calculations!$C$33:$C$84)</f>
        <v>133333.3333333333</v>
      </c>
      <c r="Q10" s="37">
        <f>SUMPRODUCT((Calculations!$D$33:$D$84=Output!Q5)+0,Calculations!$C$33:$C$84)</f>
        <v>133333.3333333333</v>
      </c>
      <c r="R10" s="37">
        <f>SUMPRODUCT((Calculations!$D$33:$D$84=Output!R5)+0,Calculations!$C$33:$C$84)</f>
        <v>133333.3333333333</v>
      </c>
      <c r="S10" s="37">
        <f>SUMPRODUCT((Calculations!$D$33:$D$84=Output!S5)+0,Calculations!$C$33:$C$84)</f>
        <v>133333.3333333333</v>
      </c>
      <c r="T10" s="37">
        <f>SUMPRODUCT((Calculations!$D$33:$D$84=Output!T5)+0,Calculations!$C$33:$C$84)</f>
        <v>133333.3333333333</v>
      </c>
      <c r="U10" s="37">
        <f>SUMPRODUCT((Calculations!$D$33:$D$84=Output!U5)+0,Calculations!$C$33:$C$84)</f>
        <v>133333.3333333333</v>
      </c>
      <c r="V10" s="37">
        <f>SUMPRODUCT((Calculations!$D$33:$D$84=Output!V5)+0,Calculations!$C$33:$C$84)</f>
        <v>133333.3333333333</v>
      </c>
      <c r="W10" s="37">
        <f>SUMPRODUCT((Calculations!$D$33:$D$84=Output!W5)+0,Calculations!$C$33:$C$84)</f>
        <v>133333.3333333333</v>
      </c>
      <c r="X10" s="37">
        <f>SUMPRODUCT((Calculations!$D$33:$D$84=Output!X5)+0,Calculations!$C$33:$C$84)</f>
        <v>133333.3333333333</v>
      </c>
      <c r="Y10" s="37">
        <f>SUMPRODUCT((Calculations!$D$33:$D$84=Output!Y5)+0,Calculations!$C$33:$C$84)</f>
        <v>133333.3333333333</v>
      </c>
      <c r="Z10" s="37">
        <f>SUMIF($B$13:$Y$13,"Yes",B10:Y10)</f>
        <v>2933333.333333333</v>
      </c>
      <c r="AA10" s="37">
        <f>SUM(B10:M10)</f>
        <v>1333333.333333333</v>
      </c>
      <c r="AB10" s="37">
        <f>SUM(B10:Y10)</f>
        <v>2933333.333333333</v>
      </c>
    </row>
    <row r="11" spans="1:30" customHeight="1" ht="15.75">
      <c r="A11" s="43" t="s">
        <v>31</v>
      </c>
      <c r="B11" s="80">
        <f>B6+B9-B10</f>
        <v>3110499.615366274</v>
      </c>
      <c r="C11" s="80">
        <f>C6+C9-C10</f>
        <v>35471.19189823457</v>
      </c>
      <c r="D11" s="80">
        <f>D6+D9-D10</f>
        <v>-111109.0164350987</v>
      </c>
      <c r="E11" s="80">
        <f>E6+E9-E10</f>
        <v>-105759.0164350987</v>
      </c>
      <c r="F11" s="80">
        <f>F6+F9-F10</f>
        <v>-93498.26956937151</v>
      </c>
      <c r="G11" s="80">
        <f>G6+G9-G10</f>
        <v>941.2472576157597</v>
      </c>
      <c r="H11" s="80">
        <f>H6+H9-H10</f>
        <v>-22833.71796705903</v>
      </c>
      <c r="I11" s="80">
        <f>I6+I9-I10</f>
        <v>-97862.14143509875</v>
      </c>
      <c r="J11" s="80">
        <f>J6+J9-J10</f>
        <v>-109109.0164350987</v>
      </c>
      <c r="K11" s="80">
        <f>K6+K9-K10</f>
        <v>-105759.0164350987</v>
      </c>
      <c r="L11" s="80">
        <f>L6+L9-L10</f>
        <v>-93498.26956937151</v>
      </c>
      <c r="M11" s="80">
        <f>M6+M9-M10</f>
        <v>941.2472576157597</v>
      </c>
      <c r="N11" s="80">
        <f>N6+N9-N10</f>
        <v>-22833.71796705903</v>
      </c>
      <c r="O11" s="80">
        <f>O6+O9-O10</f>
        <v>-97862.14143509875</v>
      </c>
      <c r="P11" s="80">
        <f>P6+P9-P10</f>
        <v>-111109.0164350987</v>
      </c>
      <c r="Q11" s="80">
        <f>Q6+Q9-Q10</f>
        <v>-105759.0164350987</v>
      </c>
      <c r="R11" s="80">
        <f>R6+R9-R10</f>
        <v>-93498.26956937151</v>
      </c>
      <c r="S11" s="80">
        <f>S6+S9-S10</f>
        <v>941.2472576157597</v>
      </c>
      <c r="T11" s="80">
        <f>T6+T9-T10</f>
        <v>-22833.71796705903</v>
      </c>
      <c r="U11" s="80">
        <f>U6+U9-U10</f>
        <v>-97862.14143509875</v>
      </c>
      <c r="V11" s="80">
        <f>V6+V9-V10</f>
        <v>-109109.0164350987</v>
      </c>
      <c r="W11" s="80">
        <f>W6+W9-W10</f>
        <v>-105759.0164350987</v>
      </c>
      <c r="X11" s="80">
        <f>X6+X9-X10</f>
        <v>-93498.26956937151</v>
      </c>
      <c r="Y11" s="80">
        <f>Y6+Y9-Y10</f>
        <v>941.2472576157597</v>
      </c>
      <c r="Z11" s="85">
        <f>SUMIF($B$13:$Y$13,"Yes",B11:Y11)</f>
        <v>1550183.008330222</v>
      </c>
      <c r="AA11" s="80">
        <f>SUM(B11:M11)</f>
        <v>2408424.837498445</v>
      </c>
      <c r="AB11" s="46">
        <f>SUM(B11:Y11)</f>
        <v>1550183.008330222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0.04208494998191414</v>
      </c>
      <c r="E12" s="82">
        <f>IF(E13="Yes",IF(SUM($B$10:E10)/(SUM($B$6:E6)+SUM($B$9:E9))&lt;0,999.99,SUM($B$10:E10)/(SUM($B$6:E6)+SUM($B$9:E9))),"")</f>
        <v>0.0834436499831273</v>
      </c>
      <c r="F12" s="82">
        <f>IF(F13="Yes",IF(SUM($B$10:F10)/(SUM($B$6:F6)+SUM($B$9:F9))&lt;0,999.99,SUM($B$10:F10)/(SUM($B$6:F6)+SUM($B$9:F9))),"")</f>
        <v>0.1236245033666875</v>
      </c>
      <c r="G12" s="82">
        <f>IF(G13="Yes",IF(SUM($B$10:G10)/(SUM($B$6:G6)+SUM($B$9:G9))&lt;0,999.99,SUM($B$10:G10)/(SUM($B$6:G6)+SUM($B$9:G9))),"")</f>
        <v>0.1582648278513864</v>
      </c>
      <c r="H12" s="82">
        <f>IF(H13="Yes",IF(SUM($B$10:H10)/(SUM($B$6:H6)+SUM($B$9:H9))&lt;0,999.99,SUM($B$10:H10)/(SUM($B$6:H6)+SUM($B$9:H9))),"")</f>
        <v>0.1915500363557687</v>
      </c>
      <c r="I12" s="82">
        <f>IF(I13="Yes",IF(SUM($B$10:I10)/(SUM($B$6:I6)+SUM($B$9:I9))&lt;0,999.99,SUM($B$10:I10)/(SUM($B$6:I6)+SUM($B$9:I9))),"")</f>
        <v>0.2275409998775856</v>
      </c>
      <c r="J12" s="82">
        <f>IF(J13="Yes",IF(SUM($B$10:J10)/(SUM($B$6:J6)+SUM($B$9:J9))&lt;0,999.99,SUM($B$10:J10)/(SUM($B$6:J6)+SUM($B$9:J9))),"")</f>
        <v>0.2636479570987371</v>
      </c>
      <c r="K12" s="82">
        <f>IF(K13="Yes",IF(SUM($B$10:K10)/(SUM($B$6:K6)+SUM($B$9:K9))&lt;0,999.99,SUM($B$10:K10)/(SUM($B$6:K6)+SUM($B$9:K9))),"")</f>
        <v>0.2989831141578354</v>
      </c>
      <c r="L12" s="82">
        <f>IF(L13="Yes",IF(SUM($B$10:L10)/(SUM($B$6:L6)+SUM($B$9:L9))&lt;0,999.99,SUM($B$10:L10)/(SUM($B$6:L6)+SUM($B$9:L9))),"")</f>
        <v>0.3326418457581646</v>
      </c>
      <c r="M12" s="82">
        <f>IF(M13="Yes",IF(SUM($B$10:M10)/(SUM($B$6:M6)+SUM($B$9:M9))&lt;0,999.99,SUM($B$10:M10)/(SUM($B$6:M6)+SUM($B$9:M9))),"")</f>
        <v>0.356338724326735</v>
      </c>
      <c r="N12" s="82">
        <f>IF(N13="Yes",IF(SUM($B$10:N10)/(SUM($B$6:N6)+SUM($B$9:N9))&lt;0,999.99,SUM($B$10:N10)/(SUM($B$6:N6)+SUM($B$9:N9))),"")</f>
        <v>0.380729106946443</v>
      </c>
      <c r="O12" s="82">
        <f>IF(O13="Yes",IF(SUM($B$10:O10)/(SUM($B$6:O6)+SUM($B$9:O9))&lt;0,999.99,SUM($B$10:O10)/(SUM($B$6:O6)+SUM($B$9:O9))),"")</f>
        <v>0.4115513218679855</v>
      </c>
      <c r="P12" s="82">
        <f>IF(P13="Yes",IF(SUM($B$10:P10)/(SUM($B$6:P6)+SUM($B$9:P9))&lt;0,999.99,SUM($B$10:P10)/(SUM($B$6:P6)+SUM($B$9:P9))),"")</f>
        <v>0.4433130532664742</v>
      </c>
      <c r="Q12" s="82">
        <f>IF(Q13="Yes",IF(SUM($B$10:Q10)/(SUM($B$6:Q6)+SUM($B$9:Q9))&lt;0,999.99,SUM($B$10:Q10)/(SUM($B$6:Q6)+SUM($B$9:Q9))),"")</f>
        <v>0.474070749631992</v>
      </c>
      <c r="R12" s="82">
        <f>IF(R13="Yes",IF(SUM($B$10:R10)/(SUM($B$6:R6)+SUM($B$9:R9))&lt;0,999.99,SUM($B$10:R10)/(SUM($B$6:R6)+SUM($B$9:R9))),"")</f>
        <v>0.5028457707015043</v>
      </c>
      <c r="S12" s="82">
        <f>IF(S13="Yes",IF(SUM($B$10:S10)/(SUM($B$6:S6)+SUM($B$9:S9))&lt;0,999.99,SUM($B$10:S10)/(SUM($B$6:S6)+SUM($B$9:S9))),"")</f>
        <v>0.5188525155257105</v>
      </c>
      <c r="T12" s="82">
        <f>IF(T13="Yes",IF(SUM($B$10:T10)/(SUM($B$6:T6)+SUM($B$9:T9))&lt;0,999.99,SUM($B$10:T10)/(SUM($B$6:T6)+SUM($B$9:T9))),"")</f>
        <v>0.5368529575404829</v>
      </c>
      <c r="U12" s="82">
        <f>IF(U13="Yes",IF(SUM($B$10:U10)/(SUM($B$6:U6)+SUM($B$9:U9))&lt;0,999.99,SUM($B$10:U10)/(SUM($B$6:U6)+SUM($B$9:U9))),"")</f>
        <v>0.5636967903570245</v>
      </c>
      <c r="V12" s="82">
        <f>IF(V13="Yes",IF(SUM($B$10:V10)/(SUM($B$6:V6)+SUM($B$9:V9))&lt;0,999.99,SUM($B$10:V10)/(SUM($B$6:V6)+SUM($B$9:V9))),"")</f>
        <v>0.5916470119015996</v>
      </c>
      <c r="W12" s="82">
        <f>IF(W13="Yes",IF(SUM($B$10:W10)/(SUM($B$6:W6)+SUM($B$9:W9))&lt;0,999.99,SUM($B$10:W10)/(SUM($B$6:W6)+SUM($B$9:W9))),"")</f>
        <v>0.6188013464433703</v>
      </c>
      <c r="X12" s="82">
        <f>IF(X13="Yes",IF(SUM($B$10:X10)/(SUM($B$6:X6)+SUM($B$9:X9))&lt;0,999.99,SUM($B$10:X10)/(SUM($B$6:X6)+SUM($B$9:X9))),"")</f>
        <v>0.64379037860371</v>
      </c>
      <c r="Y12" s="82">
        <f>IF(Y13="Yes",IF(SUM($B$10:Y10)/(SUM($B$6:Y6)+SUM($B$9:Y9))&lt;0,999.99,SUM($B$10:Y10)/(SUM($B$6:Y6)+SUM($B$9:Y9))),"")</f>
        <v>0.6542483867126834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18944.86685389566</v>
      </c>
      <c r="G18" s="36">
        <f>S18</f>
        <v>22733.84022467479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18944.86685389566</v>
      </c>
      <c r="M18" s="36">
        <f>Y18</f>
        <v>22733.84022467479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18944.86685389566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22733.84022467479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18944.86685389566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22733.84022467479</v>
      </c>
      <c r="Z18" s="36">
        <f>SUMIF($B$13:$Y$13,"Yes",B18:Y18)</f>
        <v>166714.8283142818</v>
      </c>
      <c r="AA18" s="36">
        <f>SUM(B18:M18)</f>
        <v>83357.4141571409</v>
      </c>
      <c r="AB18" s="36">
        <f>SUM(B18:Y18)</f>
        <v>166714.8283142818</v>
      </c>
      <c r="AC18" s="43"/>
      <c r="AD18" s="43"/>
    </row>
    <row r="19" spans="1:30">
      <c r="A19" t="str">
        <f>IF(Calculations!A5&lt;&gt;Parameters!$A$18,IF(Calculations!A5=0,"",Calculations!A5),Inputs!B8)</f>
        <v>Bananas</v>
      </c>
      <c r="B19" s="36">
        <f>N19</f>
        <v>19118.75</v>
      </c>
      <c r="C19" s="36">
        <f>O19</f>
        <v>19118.75</v>
      </c>
      <c r="D19" s="36">
        <f>P19</f>
        <v>19118.75</v>
      </c>
      <c r="E19" s="36">
        <f>Q19</f>
        <v>19118.75</v>
      </c>
      <c r="F19" s="36">
        <f>R19</f>
        <v>19118.75</v>
      </c>
      <c r="G19" s="36">
        <f>S19</f>
        <v>19118.75</v>
      </c>
      <c r="H19" s="36">
        <f>T19</f>
        <v>19118.75</v>
      </c>
      <c r="I19" s="36">
        <f>U19</f>
        <v>19118.75</v>
      </c>
      <c r="J19" s="36">
        <f>V19</f>
        <v>19118.75</v>
      </c>
      <c r="K19" s="36">
        <f>W19</f>
        <v>19118.75</v>
      </c>
      <c r="L19" s="36">
        <f>X19</f>
        <v>19118.75</v>
      </c>
      <c r="M19" s="36">
        <f>Y19</f>
        <v>19118.75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19118.75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19118.75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19118.75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19118.75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19118.75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19118.75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19118.75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19118.75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19118.75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19118.75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19118.75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19118.75</v>
      </c>
      <c r="Z19" s="36">
        <f>SUMIF($B$13:$Y$13,"Yes",B19:Y19)</f>
        <v>458850</v>
      </c>
      <c r="AA19" s="36">
        <f>SUM(B19:M19)</f>
        <v>229425</v>
      </c>
      <c r="AB19" s="36">
        <f>SUM(B19:Y19)</f>
        <v>458850</v>
      </c>
      <c r="AC19" s="43"/>
      <c r="AD19" s="43"/>
    </row>
    <row r="20" spans="1:30">
      <c r="A20" t="str">
        <f>IF(Calculations!A6&lt;&gt;Parameters!$A$18,IF(Calculations!A6=0,"",Calculations!A6),Inputs!B9)</f>
        <v>Tomatoes</v>
      </c>
      <c r="B20" s="36">
        <f>N20</f>
        <v>79634.42346803973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79634.42346803973</v>
      </c>
      <c r="H20" s="36">
        <f>T20</f>
        <v>79634.42346803973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79634.42346803973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79634.42346803973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79634.42346803973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79634.42346803973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79634.42346803973</v>
      </c>
      <c r="Z20" s="36">
        <f>SUMIF($B$13:$Y$13,"Yes",B20:Y20)</f>
        <v>637075.3877443179</v>
      </c>
      <c r="AA20" s="36">
        <f>SUM(B20:M20)</f>
        <v>318537.6938721589</v>
      </c>
      <c r="AB20" s="36">
        <f>SUM(B20:Y20)</f>
        <v>637075.3877443179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>
        <f>IF(Inputs!A19="","",IF(Inputs!A19=Parameters!$A$30,Inputs!B19,Inputs!A19))</f>
        <v/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78000</v>
      </c>
      <c r="C29" s="37">
        <f>Inputs!$B$30</f>
        <v>78000</v>
      </c>
      <c r="D29" s="37">
        <f>Inputs!$B$30</f>
        <v>78000</v>
      </c>
      <c r="E29" s="37">
        <f>Inputs!$B$30</f>
        <v>78000</v>
      </c>
      <c r="F29" s="37">
        <f>Inputs!$B$30</f>
        <v>78000</v>
      </c>
      <c r="G29" s="37">
        <f>Inputs!$B$30</f>
        <v>78000</v>
      </c>
      <c r="H29" s="37">
        <f>Inputs!$B$30</f>
        <v>78000</v>
      </c>
      <c r="I29" s="37">
        <f>Inputs!$B$30</f>
        <v>78000</v>
      </c>
      <c r="J29" s="37">
        <f>Inputs!$B$30</f>
        <v>78000</v>
      </c>
      <c r="K29" s="37">
        <f>Inputs!$B$30</f>
        <v>78000</v>
      </c>
      <c r="L29" s="37">
        <f>Inputs!$B$30</f>
        <v>78000</v>
      </c>
      <c r="M29" s="37">
        <f>Inputs!$B$30</f>
        <v>78000</v>
      </c>
      <c r="N29" s="37">
        <f>Inputs!$B$30</f>
        <v>78000</v>
      </c>
      <c r="O29" s="37">
        <f>Inputs!$B$30</f>
        <v>78000</v>
      </c>
      <c r="P29" s="37">
        <f>Inputs!$B$30</f>
        <v>78000</v>
      </c>
      <c r="Q29" s="37">
        <f>Inputs!$B$30</f>
        <v>78000</v>
      </c>
      <c r="R29" s="37">
        <f>Inputs!$B$30</f>
        <v>78000</v>
      </c>
      <c r="S29" s="37">
        <f>Inputs!$B$30</f>
        <v>78000</v>
      </c>
      <c r="T29" s="37">
        <f>Inputs!$B$30</f>
        <v>78000</v>
      </c>
      <c r="U29" s="37">
        <f>Inputs!$B$30</f>
        <v>78000</v>
      </c>
      <c r="V29" s="37">
        <f>Inputs!$B$30</f>
        <v>78000</v>
      </c>
      <c r="W29" s="37">
        <f>Inputs!$B$30</f>
        <v>78000</v>
      </c>
      <c r="X29" s="37">
        <f>Inputs!$B$30</f>
        <v>78000</v>
      </c>
      <c r="Y29" s="37">
        <f>Inputs!$B$30</f>
        <v>78000</v>
      </c>
      <c r="Z29" s="37">
        <f>SUMIF($B$13:$Y$13,"Yes",B29:Y29)</f>
        <v>1872000</v>
      </c>
      <c r="AA29" s="37">
        <f>SUM(B29:M29)</f>
        <v>936000</v>
      </c>
      <c r="AB29" s="37">
        <f>SUM(B29:Y29)</f>
        <v>1872000</v>
      </c>
    </row>
    <row r="30" spans="1:30" customHeight="1" ht="15.75">
      <c r="A30" s="1" t="s">
        <v>37</v>
      </c>
      <c r="B30" s="19">
        <f>SUM(B18:B29)</f>
        <v>176753.1734680397</v>
      </c>
      <c r="C30" s="19">
        <f>SUM(C18:C29)</f>
        <v>97118.75</v>
      </c>
      <c r="D30" s="19">
        <f>SUM(D18:D29)</f>
        <v>97118.75</v>
      </c>
      <c r="E30" s="19">
        <f>SUM(E18:E29)</f>
        <v>97118.75</v>
      </c>
      <c r="F30" s="19">
        <f>SUM(F18:F29)</f>
        <v>116063.6168538957</v>
      </c>
      <c r="G30" s="19">
        <f>SUM(G18:G29)</f>
        <v>199487.0136927145</v>
      </c>
      <c r="H30" s="19">
        <f>SUM(H18:H29)</f>
        <v>176753.1734680397</v>
      </c>
      <c r="I30" s="19">
        <f>SUM(I18:I29)</f>
        <v>97118.75</v>
      </c>
      <c r="J30" s="19">
        <f>SUM(J18:J29)</f>
        <v>97118.75</v>
      </c>
      <c r="K30" s="19">
        <f>SUM(K18:K29)</f>
        <v>97118.75</v>
      </c>
      <c r="L30" s="19">
        <f>SUM(L18:L29)</f>
        <v>116063.6168538957</v>
      </c>
      <c r="M30" s="19">
        <f>SUM(M18:M29)</f>
        <v>199487.0136927145</v>
      </c>
      <c r="N30" s="19">
        <f>SUM(N18:N29)</f>
        <v>176753.1734680397</v>
      </c>
      <c r="O30" s="19">
        <f>SUM(O18:O29)</f>
        <v>97118.75</v>
      </c>
      <c r="P30" s="19">
        <f>SUM(P18:P29)</f>
        <v>97118.75</v>
      </c>
      <c r="Q30" s="19">
        <f>SUM(Q18:Q29)</f>
        <v>97118.75</v>
      </c>
      <c r="R30" s="19">
        <f>SUM(R18:R29)</f>
        <v>116063.6168538957</v>
      </c>
      <c r="S30" s="19">
        <f>SUM(S18:S29)</f>
        <v>199487.0136927145</v>
      </c>
      <c r="T30" s="19">
        <f>SUM(T18:T29)</f>
        <v>176753.1734680397</v>
      </c>
      <c r="U30" s="19">
        <f>SUM(U18:U29)</f>
        <v>97118.75</v>
      </c>
      <c r="V30" s="19">
        <f>SUM(V18:V29)</f>
        <v>97118.75</v>
      </c>
      <c r="W30" s="19">
        <f>SUM(W18:W29)</f>
        <v>97118.75</v>
      </c>
      <c r="X30" s="19">
        <f>SUM(X18:X29)</f>
        <v>116063.6168538957</v>
      </c>
      <c r="Y30" s="19">
        <f>SUM(Y18:Y29)</f>
        <v>199487.0136927145</v>
      </c>
      <c r="Z30" s="19">
        <f>SUMIF($B$13:$Y$13,"Yes",B30:Y30)</f>
        <v>3134640.2160586</v>
      </c>
      <c r="AA30" s="19">
        <f>SUM(B30:M30)</f>
        <v>1567320.1080293</v>
      </c>
      <c r="AB30" s="19">
        <f>SUM(B30:Y30)</f>
        <v>3134640.2160586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4166.666666666667</v>
      </c>
      <c r="C36" s="36">
        <f>O36</f>
        <v>166.6666666666667</v>
      </c>
      <c r="D36" s="36">
        <f>P36</f>
        <v>2166.666666666667</v>
      </c>
      <c r="E36" s="36">
        <f>Q36</f>
        <v>166.6666666666667</v>
      </c>
      <c r="F36" s="36">
        <f>R36</f>
        <v>166.6666666666667</v>
      </c>
      <c r="G36" s="36">
        <f>S36</f>
        <v>166.6666666666667</v>
      </c>
      <c r="H36" s="36">
        <f>T36</f>
        <v>4166.666666666667</v>
      </c>
      <c r="I36" s="36">
        <f>U36</f>
        <v>166.6666666666667</v>
      </c>
      <c r="J36" s="36">
        <f>V36</f>
        <v>2166.666666666667</v>
      </c>
      <c r="K36" s="36">
        <f>W36</f>
        <v>166.6666666666667</v>
      </c>
      <c r="L36" s="36">
        <f>X36</f>
        <v>166.6666666666667</v>
      </c>
      <c r="M36" s="36">
        <f>Y36</f>
        <v>166.6666666666667</v>
      </c>
      <c r="N36" s="36">
        <f>SUM(N37:N41)</f>
        <v>4166.666666666667</v>
      </c>
      <c r="O36" s="36">
        <f>SUM(O37:O41)</f>
        <v>166.6666666666667</v>
      </c>
      <c r="P36" s="36">
        <f>SUM(P37:P41)</f>
        <v>2166.666666666667</v>
      </c>
      <c r="Q36" s="36">
        <f>SUM(Q37:Q41)</f>
        <v>166.6666666666667</v>
      </c>
      <c r="R36" s="36">
        <f>SUM(R37:R41)</f>
        <v>166.6666666666667</v>
      </c>
      <c r="S36" s="36">
        <f>SUM(S37:S41)</f>
        <v>166.6666666666667</v>
      </c>
      <c r="T36" s="36">
        <f>SUM(T37:T41)</f>
        <v>4166.666666666667</v>
      </c>
      <c r="U36" s="36">
        <f>SUM(U37:U41)</f>
        <v>166.6666666666667</v>
      </c>
      <c r="V36" s="36">
        <f>SUM(V37:V41)</f>
        <v>2166.666666666667</v>
      </c>
      <c r="W36" s="36">
        <f>SUM(W37:W41)</f>
        <v>166.6666666666667</v>
      </c>
      <c r="X36" s="36">
        <f>SUM(X37:X41)</f>
        <v>166.6666666666667</v>
      </c>
      <c r="Y36" s="36">
        <f>SUM(Y37:Y41)</f>
        <v>166.6666666666667</v>
      </c>
      <c r="Z36" s="36">
        <f>SUMIF($B$13:$Y$13,"Yes",B36:Y36)</f>
        <v>28000.00000000001</v>
      </c>
      <c r="AA36" s="36">
        <f>SUM(B36:M36)</f>
        <v>14000</v>
      </c>
      <c r="AB36" s="36">
        <f>SUM(B36:Y36)</f>
        <v>28000.00000000001</v>
      </c>
      <c r="AC36" s="73"/>
    </row>
    <row r="37" spans="1:30" hidden="true" outlineLevel="1">
      <c r="A37" s="181" t="str">
        <f>Calculations!$A$4</f>
        <v>Maize</v>
      </c>
      <c r="B37" s="36">
        <f>N37</f>
        <v>4000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4000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4000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4000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16000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Bananas</v>
      </c>
      <c r="B38" s="36">
        <f>N38</f>
        <v>166.6666666666667</v>
      </c>
      <c r="C38" s="36">
        <f>O38</f>
        <v>166.6666666666667</v>
      </c>
      <c r="D38" s="36">
        <f>P38</f>
        <v>166.6666666666667</v>
      </c>
      <c r="E38" s="36">
        <f>Q38</f>
        <v>166.6666666666667</v>
      </c>
      <c r="F38" s="36">
        <f>R38</f>
        <v>166.6666666666667</v>
      </c>
      <c r="G38" s="36">
        <f>S38</f>
        <v>166.6666666666667</v>
      </c>
      <c r="H38" s="36">
        <f>T38</f>
        <v>166.6666666666667</v>
      </c>
      <c r="I38" s="36">
        <f>U38</f>
        <v>166.6666666666667</v>
      </c>
      <c r="J38" s="36">
        <f>V38</f>
        <v>166.6666666666667</v>
      </c>
      <c r="K38" s="36">
        <f>W38</f>
        <v>166.6666666666667</v>
      </c>
      <c r="L38" s="36">
        <f>X38</f>
        <v>166.6666666666667</v>
      </c>
      <c r="M38" s="36">
        <f>Y38</f>
        <v>166.6666666666667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166.6666666666667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166.6666666666667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166.6666666666667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166.6666666666667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166.6666666666667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166.6666666666667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166.6666666666667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166.6666666666667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166.6666666666667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166.6666666666667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166.6666666666667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166.6666666666667</v>
      </c>
      <c r="Z38" s="36">
        <f>SUMIF($B$13:$Y$13,"Yes",B38:Y38)</f>
        <v>3999.999999999999</v>
      </c>
      <c r="AA38" s="36">
        <f>SUM(B38:M38)</f>
        <v>2000</v>
      </c>
      <c r="AB38" s="36">
        <f>SUM(B38:Y38)</f>
        <v>3999.999999999999</v>
      </c>
      <c r="AC38" s="73"/>
    </row>
    <row r="39" spans="1:30" hidden="true" outlineLevel="1">
      <c r="A39" s="181" t="str">
        <f>Calculations!$A$6</f>
        <v>Tomatoes</v>
      </c>
      <c r="B39" s="36">
        <f>N39</f>
        <v>0</v>
      </c>
      <c r="C39" s="36">
        <f>O39</f>
        <v>0</v>
      </c>
      <c r="D39" s="36">
        <f>P39</f>
        <v>2000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2000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2000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2000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8000</v>
      </c>
      <c r="AA39" s="36">
        <f>SUM(B39:M39)</f>
        <v>4000</v>
      </c>
      <c r="AB39" s="36">
        <f>SUM(B39:Y39)</f>
        <v>8000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606.0000000000001</v>
      </c>
      <c r="C42" s="36">
        <f>O42</f>
        <v>0</v>
      </c>
      <c r="D42" s="36">
        <f>P42</f>
        <v>750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606.0000000000001</v>
      </c>
      <c r="I42" s="36">
        <f>U42</f>
        <v>0</v>
      </c>
      <c r="J42" s="36">
        <f>V42</f>
        <v>750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606.0000000000001</v>
      </c>
      <c r="O42" s="36">
        <f>SUM(O43:O47)</f>
        <v>0</v>
      </c>
      <c r="P42" s="36">
        <f>SUM(P43:P47)</f>
        <v>750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606.0000000000001</v>
      </c>
      <c r="U42" s="36">
        <f>SUM(U43:U47)</f>
        <v>0</v>
      </c>
      <c r="V42" s="36">
        <f>SUM(V43:V47)</f>
        <v>750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5424</v>
      </c>
      <c r="AA42" s="36">
        <f>SUM(B42:M42)</f>
        <v>2712</v>
      </c>
      <c r="AB42" s="36">
        <f>SUM(B42:Y42)</f>
        <v>5424</v>
      </c>
    </row>
    <row r="43" spans="1:30" hidden="true" outlineLevel="1">
      <c r="A43" s="181" t="str">
        <f>Calculations!$A$4</f>
        <v>Maize</v>
      </c>
      <c r="B43" s="36">
        <f>N43</f>
        <v>606.0000000000001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606.0000000000001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606.0000000000001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606.0000000000001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2424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 t="str">
        <f>Calculations!$A$5</f>
        <v>Bananas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Tomatoes</v>
      </c>
      <c r="B45" s="36">
        <f>N45</f>
        <v>0</v>
      </c>
      <c r="C45" s="36">
        <f>O45</f>
        <v>0</v>
      </c>
      <c r="D45" s="36">
        <f>P45</f>
        <v>750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750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750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750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3000</v>
      </c>
      <c r="AA45" s="36">
        <f>SUM(B45:M45)</f>
        <v>1500</v>
      </c>
      <c r="AB45" s="36">
        <f>SUM(B45:Y45)</f>
        <v>3000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2600</v>
      </c>
      <c r="E48" s="36">
        <f>Q48</f>
        <v>0</v>
      </c>
      <c r="F48" s="36">
        <f>R48</f>
        <v>4500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600</v>
      </c>
      <c r="K48" s="36">
        <f>W48</f>
        <v>0</v>
      </c>
      <c r="L48" s="36">
        <f>X48</f>
        <v>4500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2600</v>
      </c>
      <c r="Q48" s="46">
        <f>SUM(Q49:Q53)</f>
        <v>0</v>
      </c>
      <c r="R48" s="46">
        <f>SUM(R49:R53)</f>
        <v>4500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600</v>
      </c>
      <c r="W48" s="46">
        <f>SUM(W49:W53)</f>
        <v>0</v>
      </c>
      <c r="X48" s="46">
        <f>SUM(X49:X53)</f>
        <v>4500</v>
      </c>
      <c r="Y48" s="46">
        <f>SUM(Y49:Y53)</f>
        <v>0</v>
      </c>
      <c r="Z48" s="46">
        <f>SUMIF($B$13:$Y$13,"Yes",B48:Y48)</f>
        <v>24400</v>
      </c>
      <c r="AA48" s="46">
        <f>SUM(B48:M48)</f>
        <v>12200</v>
      </c>
      <c r="AB48" s="46">
        <f>SUM(B48:Y48)</f>
        <v>24400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600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600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600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600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2400</v>
      </c>
      <c r="AA49" s="46">
        <f>SUM(B49:M49)</f>
        <v>1200</v>
      </c>
      <c r="AB49" s="46">
        <f>SUM(B49:Y49)</f>
        <v>2400</v>
      </c>
    </row>
    <row r="50" spans="1:30" hidden="true" outlineLevel="1">
      <c r="A50" s="181" t="str">
        <f>Calculations!$A$5</f>
        <v>Bananas</v>
      </c>
      <c r="B50" s="36">
        <f>N50</f>
        <v>0</v>
      </c>
      <c r="C50" s="36">
        <f>O50</f>
        <v>0</v>
      </c>
      <c r="D50" s="36">
        <f>P50</f>
        <v>2000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2000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4000</v>
      </c>
      <c r="AA50" s="46">
        <f>SUM(B50:M50)</f>
        <v>2000</v>
      </c>
      <c r="AB50" s="46">
        <f>SUM(B50:Y50)</f>
        <v>4000</v>
      </c>
    </row>
    <row r="51" spans="1:30" hidden="true" outlineLevel="1">
      <c r="A51" s="181" t="str">
        <f>Calculations!$A$6</f>
        <v>Tomatoes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4500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4500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4500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4500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18000</v>
      </c>
      <c r="AA51" s="46">
        <f>SUM(B51:M51)</f>
        <v>9000</v>
      </c>
      <c r="AB51" s="46">
        <f>SUM(B51:Y51)</f>
        <v>18000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2184.119988168422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2184.119988168422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2184.119988168422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2184.119988168422</v>
      </c>
      <c r="Y54" s="46">
        <f>SUM(Y55:Y59)</f>
        <v>0</v>
      </c>
      <c r="Z54" s="46">
        <f>SUMIF($B$13:$Y$13,"Yes",B54:Y54)</f>
        <v>8736.479952673688</v>
      </c>
      <c r="AA54" s="46">
        <f>SUM(B54:M54)</f>
        <v>4368.239976336844</v>
      </c>
      <c r="AB54" s="46">
        <f>SUM(B54:Y54)</f>
        <v>8736.479952673688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2184.119988168422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2184.119988168422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2184.119988168422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2184.119988168422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8736.479952673688</v>
      </c>
      <c r="AA55" s="46">
        <f>SUM(B55:M55)</f>
        <v>4368.239976336844</v>
      </c>
      <c r="AB55" s="46">
        <f>SUM(B55:Y55)</f>
        <v>8736.479952673688</v>
      </c>
    </row>
    <row r="56" spans="1:30" hidden="true" outlineLevel="1">
      <c r="A56" s="181" t="str">
        <f>Calculations!$A$5</f>
        <v>Bananas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Tomatoes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Bananas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Tomatoes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5272.104166666667</v>
      </c>
      <c r="C66" s="36">
        <f>O66</f>
        <v>5272.104166666667</v>
      </c>
      <c r="D66" s="36">
        <f>P66</f>
        <v>13168.97916666667</v>
      </c>
      <c r="E66" s="36">
        <f>Q66</f>
        <v>13168.97916666667</v>
      </c>
      <c r="F66" s="36">
        <f>R66</f>
        <v>13168.97916666667</v>
      </c>
      <c r="G66" s="36">
        <f>S66</f>
        <v>8836.979166666666</v>
      </c>
      <c r="H66" s="36">
        <f>T66</f>
        <v>5272.104166666667</v>
      </c>
      <c r="I66" s="36">
        <f>U66</f>
        <v>5272.104166666667</v>
      </c>
      <c r="J66" s="36">
        <f>V66</f>
        <v>13168.97916666667</v>
      </c>
      <c r="K66" s="36">
        <f>W66</f>
        <v>13168.97916666667</v>
      </c>
      <c r="L66" s="36">
        <f>X66</f>
        <v>13168.97916666667</v>
      </c>
      <c r="M66" s="36">
        <f>Y66</f>
        <v>8836.979166666666</v>
      </c>
      <c r="N66" s="46">
        <f>SUM(N67:N71)</f>
        <v>5272.104166666667</v>
      </c>
      <c r="O66" s="46">
        <f>SUM(O67:O71)</f>
        <v>5272.104166666667</v>
      </c>
      <c r="P66" s="46">
        <f>SUM(P67:P71)</f>
        <v>13168.97916666667</v>
      </c>
      <c r="Q66" s="46">
        <f>SUM(Q67:Q71)</f>
        <v>13168.97916666667</v>
      </c>
      <c r="R66" s="46">
        <f>SUM(R67:R71)</f>
        <v>13168.97916666667</v>
      </c>
      <c r="S66" s="46">
        <f>SUM(S67:S71)</f>
        <v>8836.979166666666</v>
      </c>
      <c r="T66" s="46">
        <f>SUM(T67:T71)</f>
        <v>5272.104166666667</v>
      </c>
      <c r="U66" s="46">
        <f>SUM(U67:U71)</f>
        <v>5272.104166666667</v>
      </c>
      <c r="V66" s="46">
        <f>SUM(V67:V71)</f>
        <v>13168.97916666667</v>
      </c>
      <c r="W66" s="46">
        <f>SUM(W67:W71)</f>
        <v>13168.97916666667</v>
      </c>
      <c r="X66" s="46">
        <f>SUM(X67:X71)</f>
        <v>13168.97916666667</v>
      </c>
      <c r="Y66" s="46">
        <f>SUM(Y67:Y71)</f>
        <v>8836.979166666666</v>
      </c>
      <c r="Z66" s="46">
        <f>SUMIF($B$13:$Y$13,"Yes",B66:Y66)</f>
        <v>235552.4999999999</v>
      </c>
      <c r="AA66" s="46">
        <f>SUM(B66:M66)</f>
        <v>117776.25</v>
      </c>
      <c r="AB66" s="46">
        <f>SUM(B66:Y66)</f>
        <v>235552.4999999999</v>
      </c>
    </row>
    <row r="67" spans="1:30" hidden="true" outlineLevel="1">
      <c r="A67" s="181" t="str">
        <f>Calculations!$A$4</f>
        <v>Maize</v>
      </c>
      <c r="B67" s="36">
        <f>N67</f>
        <v>4332</v>
      </c>
      <c r="C67" s="36">
        <f>O67</f>
        <v>4332</v>
      </c>
      <c r="D67" s="36">
        <f>P67</f>
        <v>4332</v>
      </c>
      <c r="E67" s="36">
        <f>Q67</f>
        <v>4332</v>
      </c>
      <c r="F67" s="36">
        <f>R67</f>
        <v>4332</v>
      </c>
      <c r="G67" s="36">
        <f>S67</f>
        <v>0</v>
      </c>
      <c r="H67" s="36">
        <f>T67</f>
        <v>4332</v>
      </c>
      <c r="I67" s="36">
        <f>U67</f>
        <v>4332</v>
      </c>
      <c r="J67" s="36">
        <f>V67</f>
        <v>4332</v>
      </c>
      <c r="K67" s="36">
        <f>W67</f>
        <v>4332</v>
      </c>
      <c r="L67" s="36">
        <f>X67</f>
        <v>4332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4332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4332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4332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4332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4332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4332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4332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4332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4332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4332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86640</v>
      </c>
      <c r="AA67" s="46">
        <f>SUM(B67:M67)</f>
        <v>43320</v>
      </c>
      <c r="AB67" s="46">
        <f>SUM(B67:Y67)</f>
        <v>86640</v>
      </c>
    </row>
    <row r="68" spans="1:30" hidden="true" outlineLevel="1">
      <c r="A68" s="181" t="str">
        <f>Calculations!$A$5</f>
        <v>Bananas</v>
      </c>
      <c r="B68" s="36">
        <f>N68</f>
        <v>940.1041666666666</v>
      </c>
      <c r="C68" s="36">
        <f>O68</f>
        <v>940.1041666666666</v>
      </c>
      <c r="D68" s="36">
        <f>P68</f>
        <v>940.1041666666666</v>
      </c>
      <c r="E68" s="36">
        <f>Q68</f>
        <v>940.1041666666666</v>
      </c>
      <c r="F68" s="36">
        <f>R68</f>
        <v>940.1041666666666</v>
      </c>
      <c r="G68" s="36">
        <f>S68</f>
        <v>940.1041666666666</v>
      </c>
      <c r="H68" s="36">
        <f>T68</f>
        <v>940.1041666666666</v>
      </c>
      <c r="I68" s="36">
        <f>U68</f>
        <v>940.1041666666666</v>
      </c>
      <c r="J68" s="36">
        <f>V68</f>
        <v>940.1041666666666</v>
      </c>
      <c r="K68" s="36">
        <f>W68</f>
        <v>940.1041666666666</v>
      </c>
      <c r="L68" s="36">
        <f>X68</f>
        <v>940.1041666666666</v>
      </c>
      <c r="M68" s="36">
        <f>Y68</f>
        <v>940.1041666666666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940.1041666666666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940.1041666666666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940.1041666666666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940.1041666666666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940.1041666666666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940.1041666666666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940.1041666666666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940.1041666666666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940.1041666666666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940.1041666666666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940.1041666666666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940.1041666666666</v>
      </c>
      <c r="Z68" s="46">
        <f>SUMIF($B$13:$Y$13,"Yes",B68:Y68)</f>
        <v>22562.5</v>
      </c>
      <c r="AA68" s="46">
        <f>SUM(B68:M68)</f>
        <v>11281.25</v>
      </c>
      <c r="AB68" s="46">
        <f>SUM(B68:Y68)</f>
        <v>22562.5</v>
      </c>
    </row>
    <row r="69" spans="1:30" hidden="true" outlineLevel="1">
      <c r="A69" s="181" t="str">
        <f>Calculations!$A$6</f>
        <v>Tomatoes</v>
      </c>
      <c r="B69" s="36">
        <f>N69</f>
        <v>0</v>
      </c>
      <c r="C69" s="36">
        <f>O69</f>
        <v>0</v>
      </c>
      <c r="D69" s="36">
        <f>P69</f>
        <v>7896.875</v>
      </c>
      <c r="E69" s="36">
        <f>Q69</f>
        <v>7896.875</v>
      </c>
      <c r="F69" s="36">
        <f>R69</f>
        <v>7896.875</v>
      </c>
      <c r="G69" s="36">
        <f>S69</f>
        <v>7896.875</v>
      </c>
      <c r="H69" s="36">
        <f>T69</f>
        <v>0</v>
      </c>
      <c r="I69" s="36">
        <f>U69</f>
        <v>0</v>
      </c>
      <c r="J69" s="36">
        <f>V69</f>
        <v>7896.875</v>
      </c>
      <c r="K69" s="36">
        <f>W69</f>
        <v>7896.875</v>
      </c>
      <c r="L69" s="36">
        <f>X69</f>
        <v>7896.875</v>
      </c>
      <c r="M69" s="36">
        <f>Y69</f>
        <v>7896.875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7896.875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7896.875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7896.875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7896.875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7896.875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7896.875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7896.875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7896.875</v>
      </c>
      <c r="Z69" s="46">
        <f>SUMIF($B$13:$Y$13,"Yes",B69:Y69)</f>
        <v>126350</v>
      </c>
      <c r="AA69" s="46">
        <f>SUM(B69:M69)</f>
        <v>63175</v>
      </c>
      <c r="AB69" s="46">
        <f>SUM(B69:Y69)</f>
        <v>126350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360000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41208.7872684321</v>
      </c>
      <c r="C81" s="46">
        <f>(SUM($AA$18:$AA$29)-SUM($AA$36,$AA$42,$AA$48,$AA$54,$AA$60,$AA$66,$AA$72:$AA$79))*Parameters!$B$37/12</f>
        <v>41208.7872684321</v>
      </c>
      <c r="D81" s="46">
        <f>(SUM($AA$18:$AA$29)-SUM($AA$36,$AA$42,$AA$48,$AA$54,$AA$60,$AA$66,$AA$72:$AA$79))*Parameters!$B$37/12</f>
        <v>41208.7872684321</v>
      </c>
      <c r="E81" s="46">
        <f>(SUM($AA$18:$AA$29)-SUM($AA$36,$AA$42,$AA$48,$AA$54,$AA$60,$AA$66,$AA$72:$AA$79))*Parameters!$B$37/12</f>
        <v>41208.7872684321</v>
      </c>
      <c r="F81" s="46">
        <f>(SUM($AA$18:$AA$29)-SUM($AA$36,$AA$42,$AA$48,$AA$54,$AA$60,$AA$66,$AA$72:$AA$79))*Parameters!$B$37/12</f>
        <v>41208.7872684321</v>
      </c>
      <c r="G81" s="46">
        <f>(SUM($AA$18:$AA$29)-SUM($AA$36,$AA$42,$AA$48,$AA$54,$AA$60,$AA$66,$AA$72:$AA$79))*Parameters!$B$37/12</f>
        <v>41208.7872684321</v>
      </c>
      <c r="H81" s="46">
        <f>(SUM($AA$18:$AA$29)-SUM($AA$36,$AA$42,$AA$48,$AA$54,$AA$60,$AA$66,$AA$72:$AA$79))*Parameters!$B$37/12</f>
        <v>41208.7872684321</v>
      </c>
      <c r="I81" s="46">
        <f>(SUM($AA$18:$AA$29)-SUM($AA$36,$AA$42,$AA$48,$AA$54,$AA$60,$AA$66,$AA$72:$AA$79))*Parameters!$B$37/12</f>
        <v>41208.7872684321</v>
      </c>
      <c r="J81" s="46">
        <f>(SUM($AA$18:$AA$29)-SUM($AA$36,$AA$42,$AA$48,$AA$54,$AA$60,$AA$66,$AA$72:$AA$79))*Parameters!$B$37/12</f>
        <v>41208.7872684321</v>
      </c>
      <c r="K81" s="46">
        <f>(SUM($AA$18:$AA$29)-SUM($AA$36,$AA$42,$AA$48,$AA$54,$AA$60,$AA$66,$AA$72:$AA$79))*Parameters!$B$37/12</f>
        <v>41208.7872684321</v>
      </c>
      <c r="L81" s="46">
        <f>(SUM($AA$18:$AA$29)-SUM($AA$36,$AA$42,$AA$48,$AA$54,$AA$60,$AA$66,$AA$72:$AA$79))*Parameters!$B$37/12</f>
        <v>41208.7872684321</v>
      </c>
      <c r="M81" s="46">
        <f>(SUM($AA$18:$AA$29)-SUM($AA$36,$AA$42,$AA$48,$AA$54,$AA$60,$AA$66,$AA$72:$AA$79))*Parameters!$B$37/12</f>
        <v>41208.7872684321</v>
      </c>
      <c r="N81" s="46">
        <f>(SUM($AA$18:$AA$29)-SUM($AA$36,$AA$42,$AA$48,$AA$54,$AA$60,$AA$66,$AA$72:$AA$79))*Parameters!$B$37/12</f>
        <v>41208.7872684321</v>
      </c>
      <c r="O81" s="46">
        <f>(SUM($AA$18:$AA$29)-SUM($AA$36,$AA$42,$AA$48,$AA$54,$AA$60,$AA$66,$AA$72:$AA$79))*Parameters!$B$37/12</f>
        <v>41208.7872684321</v>
      </c>
      <c r="P81" s="46">
        <f>(SUM($AA$18:$AA$29)-SUM($AA$36,$AA$42,$AA$48,$AA$54,$AA$60,$AA$66,$AA$72:$AA$79))*Parameters!$B$37/12</f>
        <v>41208.7872684321</v>
      </c>
      <c r="Q81" s="46">
        <f>(SUM($AA$18:$AA$29)-SUM($AA$36,$AA$42,$AA$48,$AA$54,$AA$60,$AA$66,$AA$72:$AA$79))*Parameters!$B$37/12</f>
        <v>41208.7872684321</v>
      </c>
      <c r="R81" s="46">
        <f>(SUM($AA$18:$AA$29)-SUM($AA$36,$AA$42,$AA$48,$AA$54,$AA$60,$AA$66,$AA$72:$AA$79))*Parameters!$B$37/12</f>
        <v>41208.7872684321</v>
      </c>
      <c r="S81" s="46">
        <f>(SUM($AA$18:$AA$29)-SUM($AA$36,$AA$42,$AA$48,$AA$54,$AA$60,$AA$66,$AA$72:$AA$79))*Parameters!$B$37/12</f>
        <v>41208.7872684321</v>
      </c>
      <c r="T81" s="46">
        <f>(SUM($AA$18:$AA$29)-SUM($AA$36,$AA$42,$AA$48,$AA$54,$AA$60,$AA$66,$AA$72:$AA$79))*Parameters!$B$37/12</f>
        <v>41208.7872684321</v>
      </c>
      <c r="U81" s="46">
        <f>(SUM($AA$18:$AA$29)-SUM($AA$36,$AA$42,$AA$48,$AA$54,$AA$60,$AA$66,$AA$72:$AA$79))*Parameters!$B$37/12</f>
        <v>41208.7872684321</v>
      </c>
      <c r="V81" s="46">
        <f>(SUM($AA$18:$AA$29)-SUM($AA$36,$AA$42,$AA$48,$AA$54,$AA$60,$AA$66,$AA$72:$AA$79))*Parameters!$B$37/12</f>
        <v>41208.7872684321</v>
      </c>
      <c r="W81" s="46">
        <f>(SUM($AA$18:$AA$29)-SUM($AA$36,$AA$42,$AA$48,$AA$54,$AA$60,$AA$66,$AA$72:$AA$79))*Parameters!$B$37/12</f>
        <v>41208.7872684321</v>
      </c>
      <c r="X81" s="46">
        <f>(SUM($AA$18:$AA$29)-SUM($AA$36,$AA$42,$AA$48,$AA$54,$AA$60,$AA$66,$AA$72:$AA$79))*Parameters!$B$37/12</f>
        <v>41208.7872684321</v>
      </c>
      <c r="Y81" s="46">
        <f>(SUM($AA$18:$AA$29)-SUM($AA$36,$AA$42,$AA$48,$AA$54,$AA$60,$AA$66,$AA$72:$AA$79))*Parameters!$B$37/12</f>
        <v>41208.7872684321</v>
      </c>
      <c r="Z81" s="46">
        <f>SUMIF($B$13:$Y$13,"Yes",B81:Y81)</f>
        <v>989010.8944423703</v>
      </c>
      <c r="AA81" s="46">
        <f>SUM(B81:M81)</f>
        <v>494505.4472211851</v>
      </c>
      <c r="AB81" s="46">
        <f>SUM(B81:Y81)</f>
        <v>989010.8944423703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66253.55810176543</v>
      </c>
      <c r="C88" s="19">
        <f>SUM(C72:C82,C66,C60,C54,C48,C42,C36)</f>
        <v>61647.55810176543</v>
      </c>
      <c r="D88" s="19">
        <f>SUM(D72:D82,D66,D60,D54,D48,D42,D36)</f>
        <v>74894.43310176543</v>
      </c>
      <c r="E88" s="19">
        <f>SUM(E72:E82,E66,E60,E54,E48,E42,E36)</f>
        <v>69544.43310176543</v>
      </c>
      <c r="F88" s="19">
        <f>SUM(F72:F82,F66,F60,F54,F48,F42,F36)</f>
        <v>76228.55308993385</v>
      </c>
      <c r="G88" s="19">
        <f>SUM(G72:G82,G66,G60,G54,G48,G42,G36)</f>
        <v>65212.43310176543</v>
      </c>
      <c r="H88" s="19">
        <f>SUM(H72:H82,H66,H60,H54,H48,H42,H36)</f>
        <v>66253.55810176543</v>
      </c>
      <c r="I88" s="19">
        <f>SUM(I72:I82,I66,I60,I54,I48,I42,I36)</f>
        <v>61647.55810176543</v>
      </c>
      <c r="J88" s="19">
        <f>SUM(J72:J82,J66,J60,J54,J48,J42,J36)</f>
        <v>72894.43310176543</v>
      </c>
      <c r="K88" s="19">
        <f>SUM(K72:K82,K66,K60,K54,K48,K42,K36)</f>
        <v>69544.43310176543</v>
      </c>
      <c r="L88" s="19">
        <f>SUM(L72:L82,L66,L60,L54,L48,L42,L36)</f>
        <v>76228.55308993385</v>
      </c>
      <c r="M88" s="19">
        <f>SUM(M72:M82,M66,M60,M54,M48,M42,M36)</f>
        <v>65212.43310176543</v>
      </c>
      <c r="N88" s="19">
        <f>SUM(N72:N82,N66,N60,N54,N48,N42,N36)</f>
        <v>66253.55810176543</v>
      </c>
      <c r="O88" s="19">
        <f>SUM(O72:O82,O66,O60,O54,O48,O42,O36)</f>
        <v>61647.55810176543</v>
      </c>
      <c r="P88" s="19">
        <f>SUM(P72:P82,P66,P60,P54,P48,P42,P36)</f>
        <v>74894.43310176543</v>
      </c>
      <c r="Q88" s="19">
        <f>SUM(Q72:Q82,Q66,Q60,Q54,Q48,Q42,Q36)</f>
        <v>69544.43310176543</v>
      </c>
      <c r="R88" s="19">
        <f>SUM(R72:R82,R66,R60,R54,R48,R42,R36)</f>
        <v>76228.55308993385</v>
      </c>
      <c r="S88" s="19">
        <f>SUM(S72:S82,S66,S60,S54,S48,S42,S36)</f>
        <v>65212.43310176543</v>
      </c>
      <c r="T88" s="19">
        <f>SUM(T72:T82,T66,T60,T54,T48,T42,T36)</f>
        <v>66253.55810176543</v>
      </c>
      <c r="U88" s="19">
        <f>SUM(U72:U82,U66,U60,U54,U48,U42,U36)</f>
        <v>61647.55810176543</v>
      </c>
      <c r="V88" s="19">
        <f>SUM(V72:V82,V66,V60,V54,V48,V42,V36)</f>
        <v>72894.43310176543</v>
      </c>
      <c r="W88" s="19">
        <f>SUM(W72:W82,W66,W60,W54,W48,W42,W36)</f>
        <v>69544.43310176543</v>
      </c>
      <c r="X88" s="19">
        <f>SUM(X72:X82,X66,X60,X54,X48,X42,X36)</f>
        <v>76228.55308993385</v>
      </c>
      <c r="Y88" s="19">
        <f>SUM(Y72:Y82,Y66,Y60,Y54,Y48,Y42,Y36)</f>
        <v>65212.43310176543</v>
      </c>
      <c r="Z88" s="19">
        <f>SUMIF($B$13:$Y$13,"Yes",B88:Y88)</f>
        <v>1651123.874395044</v>
      </c>
      <c r="AA88" s="19">
        <f>SUM(B88:M88)</f>
        <v>825561.937197522</v>
      </c>
      <c r="AB88" s="19">
        <f>SUM(B88:Y88)</f>
        <v>1651123.874395044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120000</v>
      </c>
    </row>
    <row r="95" spans="1:30">
      <c r="A95" t="s">
        <v>61</v>
      </c>
      <c r="B95" s="36">
        <f>Inputs!B47</f>
        <v>2000000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2100000</v>
      </c>
    </row>
    <row r="98" spans="1:30">
      <c r="A98" t="s">
        <v>64</v>
      </c>
      <c r="B98" s="36">
        <f>IF(Inputs!B44="Yes",Inputs!B45,0)</f>
        <v>12500000</v>
      </c>
    </row>
    <row r="99" spans="1:30">
      <c r="A99" t="s">
        <v>65</v>
      </c>
      <c r="B99" s="36">
        <f>Inputs!B46</f>
        <v>2400000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19120000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31173</v>
      </c>
    </row>
    <row r="106" spans="1:30" customHeight="1" ht="15.75">
      <c r="A106" s="18" t="s">
        <v>71</v>
      </c>
      <c r="B106" s="37">
        <f>Calculations!G35</f>
        <v>3000000</v>
      </c>
    </row>
    <row r="107" spans="1:30" customHeight="1" ht="15.75">
      <c r="A107" s="1" t="s">
        <v>72</v>
      </c>
      <c r="B107" s="19">
        <f>SUM(B104:B106)</f>
        <v>3031173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1</v>
      </c>
    </row>
    <row r="9" spans="1:48">
      <c r="A9" s="143" t="s">
        <v>97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96</v>
      </c>
      <c r="K9" s="138"/>
      <c r="L9" s="16"/>
      <c r="M9" s="165">
        <v>10</v>
      </c>
      <c r="N9" s="154">
        <v>1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70</v>
      </c>
      <c r="D19" s="145"/>
      <c r="E19" s="20"/>
      <c r="F19" s="145" t="s">
        <v>92</v>
      </c>
      <c r="G19" s="20"/>
      <c r="H19" s="20"/>
      <c r="I19" s="145" t="s">
        <v>112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5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78000</v>
      </c>
    </row>
    <row r="31" spans="1:48">
      <c r="A31" s="5" t="s">
        <v>119</v>
      </c>
      <c r="B31" s="158">
        <v>15000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12500000</v>
      </c>
    </row>
    <row r="46" spans="1:48" customHeight="1" ht="30">
      <c r="A46" s="57" t="s">
        <v>133</v>
      </c>
      <c r="B46" s="161">
        <v>2400000</v>
      </c>
    </row>
    <row r="47" spans="1:48" customHeight="1" ht="30">
      <c r="A47" s="57" t="s">
        <v>134</v>
      </c>
      <c r="B47" s="161">
        <v>2000000</v>
      </c>
    </row>
    <row r="48" spans="1:48" customHeight="1" ht="30">
      <c r="A48" s="57" t="s">
        <v>135</v>
      </c>
      <c r="B48" s="161">
        <v>0</v>
      </c>
    </row>
    <row r="49" spans="1:48" customHeight="1" ht="30">
      <c r="A49" s="57" t="s">
        <v>136</v>
      </c>
      <c r="B49" s="161">
        <v>120000</v>
      </c>
    </row>
    <row r="50" spans="1:48">
      <c r="A50" s="43"/>
      <c r="B50" s="36"/>
    </row>
    <row r="51" spans="1:48">
      <c r="A51" s="58" t="s">
        <v>137</v>
      </c>
      <c r="B51" s="161">
        <v>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31173</v>
      </c>
      <c r="B56" s="159">
        <v>31173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149</v>
      </c>
      <c r="C65" s="10" t="s">
        <v>150</v>
      </c>
    </row>
    <row r="66" spans="1:48">
      <c r="A66" s="142" t="s">
        <v>151</v>
      </c>
      <c r="B66" s="159">
        <v>163950</v>
      </c>
      <c r="C66" s="163">
        <v>124781</v>
      </c>
      <c r="D66" s="49">
        <f>INDEX(Parameters!$D$79:$D$90,MATCH(Inputs!A66,Parameters!$C$79:$C$90,0))</f>
        <v>7</v>
      </c>
    </row>
    <row r="67" spans="1:48">
      <c r="A67" s="143" t="s">
        <v>152</v>
      </c>
      <c r="B67" s="157">
        <v>458720</v>
      </c>
      <c r="C67" s="165">
        <v>381238</v>
      </c>
      <c r="D67" s="49">
        <f>INDEX(Parameters!$D$79:$D$90,MATCH(Inputs!A67,Parameters!$C$79:$C$90,0))</f>
        <v>6</v>
      </c>
    </row>
    <row r="68" spans="1:48">
      <c r="A68" s="143" t="s">
        <v>153</v>
      </c>
      <c r="B68" s="157">
        <v>259773</v>
      </c>
      <c r="C68" s="165">
        <v>174720</v>
      </c>
      <c r="D68" s="49">
        <f>INDEX(Parameters!$D$79:$D$90,MATCH(Inputs!A68,Parameters!$C$79:$C$90,0))</f>
        <v>5</v>
      </c>
    </row>
    <row r="69" spans="1:48">
      <c r="A69" s="143" t="s">
        <v>154</v>
      </c>
      <c r="B69" s="157">
        <v>456688</v>
      </c>
      <c r="C69" s="165">
        <v>373549</v>
      </c>
      <c r="D69" s="49">
        <f>INDEX(Parameters!$D$79:$D$90,MATCH(Inputs!A69,Parameters!$C$79:$C$90,0))</f>
        <v>4</v>
      </c>
    </row>
    <row r="70" spans="1:48">
      <c r="A70" s="143" t="s">
        <v>155</v>
      </c>
      <c r="B70" s="157">
        <v>519353</v>
      </c>
      <c r="C70" s="165">
        <v>373549</v>
      </c>
      <c r="D70" s="49">
        <f>INDEX(Parameters!$D$79:$D$90,MATCH(Inputs!A70,Parameters!$C$79:$C$90,0))</f>
        <v>3</v>
      </c>
    </row>
    <row r="71" spans="1:48">
      <c r="A71" s="144" t="s">
        <v>156</v>
      </c>
      <c r="B71" s="158">
        <v>423333</v>
      </c>
      <c r="C71" s="167">
        <v>328332</v>
      </c>
      <c r="D71" s="49">
        <f>INDEX(Parameters!$D$79:$D$90,MATCH(Inputs!A71,Parameters!$C$79:$C$90,0))</f>
        <v>2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4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3000000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36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43221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43405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1899.234772320367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75779.46741558264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2184.119988168422</v>
      </c>
      <c r="AB4" s="33">
        <f>H4*IFERROR(INDEX(Parameters!$A$3:$AI$17,MATCH(Calculations!A4,Parameters!$A$3:$A$17,0),MATCH(Parameters!$O$3,Parameters!$A$3:$AI$3,0)),AVERAGE(Parameters!$O$4:$O$17))*(1-Inputs!$B$25/100)</f>
        <v>22800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Bananas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42979</v>
      </c>
      <c r="C5" s="39">
        <f>IFERROR(DATE(YEAR(B5),MONTH(B5)+ROUND(T5/2,0),DAY(B5)),B5)</f>
        <v>42979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11500</v>
      </c>
      <c r="M5" s="30">
        <f>L5*H5</f>
        <v>11500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229425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11875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 t="str">
        <f>Inputs!A9</f>
        <v>Tomatoes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42979</v>
      </c>
      <c r="C6" s="39">
        <f>IFERROR(DATE(YEAR(B6),MONTH(B6)+ROUND(T6/2,0),DAY(B6)),B6)</f>
        <v>43040</v>
      </c>
      <c r="D6" s="39">
        <f>IFERROR(DATE(YEAR(B6),MONTH(B6)+T6,DAY(B6)),"")</f>
        <v>43070</v>
      </c>
      <c r="E6" s="39">
        <f>IFERROR(IF($S6=0,"",IF($S6=2,DATE(YEAR(B6),MONTH(B6)+6,DAY(B6)),IF($S6=1,B6,""))),"")</f>
        <v>43160</v>
      </c>
      <c r="F6" s="39">
        <f>IFERROR(IF($S6=0,"",IF($S6=2,DATE(YEAR(C6),MONTH(C6)+6,DAY(C6)),IF($S6=1,C6,""))),"")</f>
        <v>43221</v>
      </c>
      <c r="G6" s="39">
        <f>IFERROR(IF($S6=0,"",IF($S6=2,DATE(YEAR(D6),MONTH(D6)+6,DAY(D6)),IF($S6=1,D6,""))),"")</f>
        <v>43252</v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120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5056.15387098665</v>
      </c>
      <c r="M6" s="30">
        <f>L6*H6</f>
        <v>5056.15387098665</v>
      </c>
      <c r="N6" s="22">
        <f>Calculations!U6</f>
        <v>0.1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35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318537.6938721589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3</v>
      </c>
      <c r="U6" s="22">
        <f>Inputs!M9/100</f>
        <v>0.1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750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4500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33250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Other animals</v>
      </c>
      <c r="B14" s="20" t="str">
        <f>IFERROR(VLOOKUP(A14,Parameters!$A$23:$B$30,2,0),"")</f>
        <v>meat</v>
      </c>
      <c r="C14" s="20">
        <f>IF(Inputs!A19=Parameters!$A$30,Inputs!B19,A14&amp;": "&amp;B14)</f>
        <v>0</v>
      </c>
      <c r="D14" s="16">
        <f>Inputs!C19</f>
        <v>70</v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 t="str">
        <f>IFERROR(INDEX(Parameters!$A$41:$C$48,MATCH(Calculations!A14,Parameters!$A$41:$A$48,0),MATCH(Inputs!F19,Parameters!$A$41:$C$41,0)),0)</f>
        <v/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31173</v>
      </c>
      <c r="B23" s="75">
        <f>SUM(C23:D23)</f>
        <v>571.505</v>
      </c>
      <c r="C23" s="75">
        <f>IF(Inputs!B56&gt;0,(Inputs!A56-Inputs!B56)/(DATE(YEAR(Inputs!$B$76),MONTH(Inputs!$B$76),DAY(Inputs!$B$76))-DATE(YEAR(Inputs!C56),MONTH(Inputs!C56),DAY(Inputs!C56)))*30,0)</f>
        <v>-0</v>
      </c>
      <c r="D23" s="75">
        <f>IF(Inputs!B56&gt;0,Inputs!A56*0.22/12,0)</f>
        <v>571.505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42983</v>
      </c>
      <c r="C33" s="27">
        <f>IF(B33&lt;&gt;"",IF(COUNT($A$33:A33)&lt;=$G$39,0,$G$41)+IF(COUNT($A$33:A33)&lt;=$G$40,0,$G$42),0)</f>
        <v>133333.3333333333</v>
      </c>
      <c r="D33" s="170">
        <f>IFERROR(DATE(YEAR(B33),MONTH(B33),1)," ")</f>
        <v>42979</v>
      </c>
      <c r="F33" t="s">
        <v>162</v>
      </c>
      <c r="G33" s="128">
        <f>IF(Inputs!B79="","",DATE(YEAR(Inputs!B79),MONTH(Inputs!B79),DAY(Inputs!B79)))</f>
        <v>42944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43013</v>
      </c>
      <c r="C34" s="27">
        <f>IF(B34&lt;&gt;"",IF(COUNT($A$33:A34)&lt;=$G$39,0,$G$41)+IF(COUNT($A$33:A34)&lt;=$G$40,0,$G$42),0)</f>
        <v>133333.3333333333</v>
      </c>
      <c r="D34" s="170">
        <f>IFERROR(DATE(YEAR(B34),MONTH(B34),1)," ")</f>
        <v>43009</v>
      </c>
      <c r="F34" t="s">
        <v>164</v>
      </c>
      <c r="G34" s="128">
        <f>IF(Inputs!B80="","",DATE(YEAR(Inputs!B80),MONTH(Inputs!B80),DAY(Inputs!B80)))</f>
        <v>42983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43044</v>
      </c>
      <c r="C35" s="27">
        <f>IF(B35&lt;&gt;"",IF(COUNT($A$33:A35)&lt;=$G$39,0,$G$41)+IF(COUNT($A$33:A35)&lt;=$G$40,0,$G$42),0)</f>
        <v>133333.3333333333</v>
      </c>
      <c r="D35" s="170">
        <f>IFERROR(DATE(YEAR(B35),MONTH(B35),1)," ")</f>
        <v>43040</v>
      </c>
      <c r="F35" t="s">
        <v>166</v>
      </c>
      <c r="G35" s="27">
        <f>Inputs!B81</f>
        <v>3000000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43074</v>
      </c>
      <c r="C36" s="27">
        <f>IF(B36&lt;&gt;"",IF(COUNT($A$33:A36)&lt;=$G$39,0,$G$41)+IF(COUNT($A$33:A36)&lt;=$G$40,0,$G$42),0)</f>
        <v>133333.3333333333</v>
      </c>
      <c r="D36" s="170">
        <f>IFERROR(DATE(YEAR(B36),MONTH(B36),1)," ")</f>
        <v>43070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43105</v>
      </c>
      <c r="C37" s="27">
        <f>IF(B37&lt;&gt;"",IF(COUNT($A$33:A37)&lt;=$G$39,0,$G$41)+IF(COUNT($A$33:A37)&lt;=$G$40,0,$G$42),0)</f>
        <v>133333.3333333333</v>
      </c>
      <c r="D37" s="170">
        <f>IFERROR(DATE(YEAR(B37),MONTH(B37),1)," ")</f>
        <v>43101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43136</v>
      </c>
      <c r="C38" s="27">
        <f>IF(B38&lt;&gt;"",IF(COUNT($A$33:A38)&lt;=$G$39,0,$G$41)+IF(COUNT($A$33:A38)&lt;=$G$40,0,$G$42),0)</f>
        <v>133333.3333333333</v>
      </c>
      <c r="D38" s="170">
        <f>IFERROR(DATE(YEAR(B38),MONTH(B38),1)," ")</f>
        <v>43132</v>
      </c>
      <c r="F38" t="s">
        <v>229</v>
      </c>
      <c r="G38" s="27">
        <f>IFERROR(Inputs!B85/Inputs!B84,"")</f>
        <v>36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43164</v>
      </c>
      <c r="C39" s="27">
        <f>IF(B39&lt;&gt;"",IF(COUNT($A$33:A39)&lt;=$G$39,0,$G$41)+IF(COUNT($A$33:A39)&lt;=$G$40,0,$G$42),0)</f>
        <v>133333.3333333333</v>
      </c>
      <c r="D39" s="170">
        <f>IFERROR(DATE(YEAR(B39),MONTH(B39),1)," ")</f>
        <v>43160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43195</v>
      </c>
      <c r="C40" s="27">
        <f>IF(B40&lt;&gt;"",IF(COUNT($A$33:A40)&lt;=$G$39,0,$G$41)+IF(COUNT($A$33:A40)&lt;=$G$40,0,$G$42),0)</f>
        <v>133333.3333333333</v>
      </c>
      <c r="D40" s="170">
        <f>IFERROR(DATE(YEAR(B40),MONTH(B40),1)," ")</f>
        <v>43191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43225</v>
      </c>
      <c r="C41" s="27">
        <f>IF(B41&lt;&gt;"",IF(COUNT($A$33:A41)&lt;=$G$39,0,$G$41)+IF(COUNT($A$33:A41)&lt;=$G$40,0,$G$42),0)</f>
        <v>133333.3333333333</v>
      </c>
      <c r="D41" s="170">
        <f>IFERROR(DATE(YEAR(B41),MONTH(B41),1)," ")</f>
        <v>43221</v>
      </c>
      <c r="F41" t="s">
        <v>230</v>
      </c>
      <c r="G41" s="73">
        <f>IFERROR(G35/(G38-G39),"")</f>
        <v>83333.33333333333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43256</v>
      </c>
      <c r="C42" s="27">
        <f>IF(B42&lt;&gt;"",IF(COUNT($A$33:A42)&lt;=$G$39,0,$G$41)+IF(COUNT($A$33:A42)&lt;=$G$40,0,$G$42),0)</f>
        <v>133333.3333333333</v>
      </c>
      <c r="D42" s="170">
        <f>IFERROR(DATE(YEAR(B42),MONTH(B42),1)," ")</f>
        <v>43252</v>
      </c>
      <c r="F42" t="s">
        <v>231</v>
      </c>
      <c r="G42" s="73">
        <f>IFERROR(G35*G36*IF(G37="Monthly",G38/12,IF(G37="Fortnightly",G38/(365/14),G38/(365/28)))/(G38-G40),"")</f>
        <v>50000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43286</v>
      </c>
      <c r="C43" s="27">
        <f>IF(B43&lt;&gt;"",IF(COUNT($A$33:A43)&lt;=$G$39,0,$G$41)+IF(COUNT($A$33:A43)&lt;=$G$40,0,$G$42),0)</f>
        <v>133333.3333333333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43317</v>
      </c>
      <c r="C44" s="27">
        <f>IF(B44&lt;&gt;"",IF(COUNT($A$33:A44)&lt;=$G$39,0,$G$41)+IF(COUNT($A$33:A44)&lt;=$G$40,0,$G$42),0)</f>
        <v>133333.3333333333</v>
      </c>
      <c r="D44" s="170">
        <f>IFERROR(DATE(YEAR(B44),MONTH(B44),1)," ")</f>
        <v>43313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43348</v>
      </c>
      <c r="C45" s="27">
        <f>IF(B45&lt;&gt;"",IF(COUNT($A$33:A45)&lt;=$G$39,0,$G$41)+IF(COUNT($A$33:A45)&lt;=$G$40,0,$G$42),0)</f>
        <v>133333.3333333333</v>
      </c>
      <c r="D45" s="170">
        <f>IFERROR(DATE(YEAR(B45),MONTH(B45),1)," ")</f>
        <v>43344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43378</v>
      </c>
      <c r="C46" s="27">
        <f>IF(B46&lt;&gt;"",IF(COUNT($A$33:A46)&lt;=$G$39,0,$G$41)+IF(COUNT($A$33:A46)&lt;=$G$40,0,$G$42),0)</f>
        <v>133333.3333333333</v>
      </c>
      <c r="D46" s="170">
        <f>IFERROR(DATE(YEAR(B46),MONTH(B46),1)," ")</f>
        <v>43374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43409</v>
      </c>
      <c r="C47" s="27">
        <f>IF(B47&lt;&gt;"",IF(COUNT($A$33:A47)&lt;=$G$39,0,$G$41)+IF(COUNT($A$33:A47)&lt;=$G$40,0,$G$42),0)</f>
        <v>133333.3333333333</v>
      </c>
      <c r="D47" s="170">
        <f>IFERROR(DATE(YEAR(B47),MONTH(B47),1)," ")</f>
        <v>43405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43439</v>
      </c>
      <c r="C48" s="27">
        <f>IF(B48&lt;&gt;"",IF(COUNT($A$33:A48)&lt;=$G$39,0,$G$41)+IF(COUNT($A$33:A48)&lt;=$G$40,0,$G$42),0)</f>
        <v>133333.3333333333</v>
      </c>
      <c r="D48" s="170">
        <f>IFERROR(DATE(YEAR(B48),MONTH(B48),1)," ")</f>
        <v>43435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43470</v>
      </c>
      <c r="C49" s="27">
        <f>IF(B49&lt;&gt;"",IF(COUNT($A$33:A49)&lt;=$G$39,0,$G$41)+IF(COUNT($A$33:A49)&lt;=$G$40,0,$G$42),0)</f>
        <v>133333.3333333333</v>
      </c>
      <c r="D49" s="170">
        <f>IFERROR(DATE(YEAR(B49),MONTH(B49),1)," ")</f>
        <v>43466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43501</v>
      </c>
      <c r="C50" s="27">
        <f>IF(B50&lt;&gt;"",IF(COUNT($A$33:A50)&lt;=$G$39,0,$G$41)+IF(COUNT($A$33:A50)&lt;=$G$40,0,$G$42),0)</f>
        <v>133333.3333333333</v>
      </c>
      <c r="D50" s="170">
        <f>IFERROR(DATE(YEAR(B50),MONTH(B50),1)," ")</f>
        <v>43497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43529</v>
      </c>
      <c r="C51" s="27">
        <f>IF(B51&lt;&gt;"",IF(COUNT($A$33:A51)&lt;=$G$39,0,$G$41)+IF(COUNT($A$33:A51)&lt;=$G$40,0,$G$42),0)</f>
        <v>133333.3333333333</v>
      </c>
      <c r="D51" s="170">
        <f>IFERROR(DATE(YEAR(B51),MONTH(B51),1)," ")</f>
        <v>43525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43560</v>
      </c>
      <c r="C52" s="27">
        <f>IF(B52&lt;&gt;"",IF(COUNT($A$33:A52)&lt;=$G$39,0,$G$41)+IF(COUNT($A$33:A52)&lt;=$G$40,0,$G$42),0)</f>
        <v>133333.3333333333</v>
      </c>
      <c r="D52" s="170">
        <f>IFERROR(DATE(YEAR(B52),MONTH(B52),1)," ")</f>
        <v>43556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43590</v>
      </c>
      <c r="C53" s="27">
        <f>IF(B53&lt;&gt;"",IF(COUNT($A$33:A53)&lt;=$G$39,0,$G$41)+IF(COUNT($A$33:A53)&lt;=$G$40,0,$G$42),0)</f>
        <v>133333.3333333333</v>
      </c>
      <c r="D53" s="170">
        <f>IFERROR(DATE(YEAR(B53),MONTH(B53),1)," ")</f>
        <v>43586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43621</v>
      </c>
      <c r="C54" s="27">
        <f>IF(B54&lt;&gt;"",IF(COUNT($A$33:A54)&lt;=$G$39,0,$G$41)+IF(COUNT($A$33:A54)&lt;=$G$40,0,$G$42),0)</f>
        <v>133333.3333333333</v>
      </c>
      <c r="D54" s="170">
        <f>IFERROR(DATE(YEAR(B54),MONTH(B54),1)," ")</f>
        <v>43617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43651</v>
      </c>
      <c r="C55" s="27">
        <f>IF(B55&lt;&gt;"",IF(COUNT($A$33:A55)&lt;=$G$39,0,$G$41)+IF(COUNT($A$33:A55)&lt;=$G$40,0,$G$42),0)</f>
        <v>133333.3333333333</v>
      </c>
      <c r="D55" s="170">
        <f>IFERROR(DATE(YEAR(B55),MONTH(B55),1)," ")</f>
        <v>43647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43682</v>
      </c>
      <c r="C56" s="27">
        <f>IF(B56&lt;&gt;"",IF(COUNT($A$33:A56)&lt;=$G$39,0,$G$41)+IF(COUNT($A$33:A56)&lt;=$G$40,0,$G$42),0)</f>
        <v>133333.3333333333</v>
      </c>
      <c r="D56" s="170">
        <f>IFERROR(DATE(YEAR(B56),MONTH(B56),1)," ")</f>
        <v>43678</v>
      </c>
    </row>
    <row r="57" spans="1:52">
      <c r="A57">
        <f>A56+1</f>
        <v>25</v>
      </c>
      <c r="B57" s="128">
        <f>IFERROR(IF(COUNT($A$33:A57)&lt;=$G$38,IF($G$37="Monthly",DATE(YEAR(B56),MONTH(B56)+1,MIN(DAY(B56),28)),B56+14),""),"")</f>
        <v>43713</v>
      </c>
      <c r="C57" s="27">
        <f>IF(B57&lt;&gt;"",IF(COUNT($A$33:A57)&lt;=$G$39,0,$G$41)+IF(COUNT($A$33:A57)&lt;=$G$40,0,$G$42),0)</f>
        <v>133333.3333333333</v>
      </c>
      <c r="D57" s="170">
        <f>IFERROR(DATE(YEAR(B57),MONTH(B57),1)," ")</f>
        <v>43709</v>
      </c>
    </row>
    <row r="58" spans="1:52">
      <c r="A58">
        <f>A57+1</f>
        <v>26</v>
      </c>
      <c r="B58" s="128">
        <f>IFERROR(IF(COUNT($A$33:A58)&lt;=$G$38,IF($G$37="Monthly",DATE(YEAR(B57),MONTH(B57)+1,MIN(DAY(B57),28)),B57+14),""),"")</f>
        <v>43743</v>
      </c>
      <c r="C58" s="27">
        <f>IF(B58&lt;&gt;"",IF(COUNT($A$33:A58)&lt;=$G$39,0,$G$41)+IF(COUNT($A$33:A58)&lt;=$G$40,0,$G$42),0)</f>
        <v>133333.3333333333</v>
      </c>
      <c r="D58" s="170">
        <f>IFERROR(DATE(YEAR(B58),MONTH(B58),1)," ")</f>
        <v>43739</v>
      </c>
    </row>
    <row r="59" spans="1:52">
      <c r="A59">
        <f>A58+1</f>
        <v>27</v>
      </c>
      <c r="B59" s="128">
        <f>IFERROR(IF(COUNT($A$33:A59)&lt;=$G$38,IF($G$37="Monthly",DATE(YEAR(B58),MONTH(B58)+1,MIN(DAY(B58),28)),B58+14),""),"")</f>
        <v>43774</v>
      </c>
      <c r="C59" s="27">
        <f>IF(B59&lt;&gt;"",IF(COUNT($A$33:A59)&lt;=$G$39,0,$G$41)+IF(COUNT($A$33:A59)&lt;=$G$40,0,$G$42),0)</f>
        <v>133333.3333333333</v>
      </c>
      <c r="D59" s="170">
        <f>IFERROR(DATE(YEAR(B59),MONTH(B59),1)," ")</f>
        <v>43770</v>
      </c>
    </row>
    <row r="60" spans="1:52">
      <c r="A60">
        <f>A59+1</f>
        <v>28</v>
      </c>
      <c r="B60" s="128">
        <f>IFERROR(IF(COUNT($A$33:A60)&lt;=$G$38,IF($G$37="Monthly",DATE(YEAR(B59),MONTH(B59)+1,MIN(DAY(B59),28)),B59+14),""),"")</f>
        <v>43804</v>
      </c>
      <c r="C60" s="27">
        <f>IF(B60&lt;&gt;"",IF(COUNT($A$33:A60)&lt;=$G$39,0,$G$41)+IF(COUNT($A$33:A60)&lt;=$G$40,0,$G$42),0)</f>
        <v>133333.3333333333</v>
      </c>
      <c r="D60" s="170">
        <f>IFERROR(DATE(YEAR(B60),MONTH(B60),1)," ")</f>
        <v>43800</v>
      </c>
    </row>
    <row r="61" spans="1:52">
      <c r="A61">
        <f>A60+1</f>
        <v>29</v>
      </c>
      <c r="B61" s="128">
        <f>IFERROR(IF(COUNT($A$33:A61)&lt;=$G$38,IF($G$37="Monthly",DATE(YEAR(B60),MONTH(B60)+1,MIN(DAY(B60),28)),B60+14),""),"")</f>
        <v>43835</v>
      </c>
      <c r="C61" s="27">
        <f>IF(B61&lt;&gt;"",IF(COUNT($A$33:A61)&lt;=$G$39,0,$G$41)+IF(COUNT($A$33:A61)&lt;=$G$40,0,$G$42),0)</f>
        <v>133333.3333333333</v>
      </c>
      <c r="D61" s="170">
        <f>IFERROR(DATE(YEAR(B61),MONTH(B61),1)," ")</f>
        <v>43831</v>
      </c>
    </row>
    <row r="62" spans="1:52">
      <c r="A62">
        <f>A61+1</f>
        <v>30</v>
      </c>
      <c r="B62" s="128">
        <f>IFERROR(IF(COUNT($A$33:A62)&lt;=$G$38,IF($G$37="Monthly",DATE(YEAR(B61),MONTH(B61)+1,MIN(DAY(B61),28)),B61+14),""),"")</f>
        <v>43866</v>
      </c>
      <c r="C62" s="27">
        <f>IF(B62&lt;&gt;"",IF(COUNT($A$33:A62)&lt;=$G$39,0,$G$41)+IF(COUNT($A$33:A62)&lt;=$G$40,0,$G$42),0)</f>
        <v>133333.3333333333</v>
      </c>
      <c r="D62" s="170">
        <f>IFERROR(DATE(YEAR(B62),MONTH(B62),1)," ")</f>
        <v>43862</v>
      </c>
    </row>
    <row r="63" spans="1:52">
      <c r="A63">
        <f>A62+1</f>
        <v>31</v>
      </c>
      <c r="B63" s="128">
        <f>IFERROR(IF(COUNT($A$33:A63)&lt;=$G$38,IF($G$37="Monthly",DATE(YEAR(B62),MONTH(B62)+1,MIN(DAY(B62),28)),B62+14),""),"")</f>
        <v>43895</v>
      </c>
      <c r="C63" s="27">
        <f>IF(B63&lt;&gt;"",IF(COUNT($A$33:A63)&lt;=$G$39,0,$G$41)+IF(COUNT($A$33:A63)&lt;=$G$40,0,$G$42),0)</f>
        <v>133333.3333333333</v>
      </c>
      <c r="D63" s="170">
        <f>IFERROR(DATE(YEAR(B63),MONTH(B63),1)," ")</f>
        <v>43891</v>
      </c>
    </row>
    <row r="64" spans="1:52">
      <c r="A64">
        <f>A63+1</f>
        <v>32</v>
      </c>
      <c r="B64" s="128">
        <f>IFERROR(IF(COUNT($A$33:A64)&lt;=$G$38,IF($G$37="Monthly",DATE(YEAR(B63),MONTH(B63)+1,MIN(DAY(B63),28)),B63+14),""),"")</f>
        <v>43926</v>
      </c>
      <c r="C64" s="27">
        <f>IF(B64&lt;&gt;"",IF(COUNT($A$33:A64)&lt;=$G$39,0,$G$41)+IF(COUNT($A$33:A64)&lt;=$G$40,0,$G$42),0)</f>
        <v>133333.3333333333</v>
      </c>
      <c r="D64" s="170">
        <f>IFERROR(DATE(YEAR(B64),MONTH(B64),1)," ")</f>
        <v>43922</v>
      </c>
    </row>
    <row r="65" spans="1:52">
      <c r="A65">
        <f>A64+1</f>
        <v>33</v>
      </c>
      <c r="B65" s="128">
        <f>IFERROR(IF(COUNT($A$33:A65)&lt;=$G$38,IF($G$37="Monthly",DATE(YEAR(B64),MONTH(B64)+1,MIN(DAY(B64),28)),B64+14),""),"")</f>
        <v>43956</v>
      </c>
      <c r="C65" s="27">
        <f>IF(B65&lt;&gt;"",IF(COUNT($A$33:A65)&lt;=$G$39,0,$G$41)+IF(COUNT($A$33:A65)&lt;=$G$40,0,$G$42),0)</f>
        <v>133333.3333333333</v>
      </c>
      <c r="D65" s="170">
        <f>IFERROR(DATE(YEAR(B65),MONTH(B65),1)," ")</f>
        <v>43952</v>
      </c>
    </row>
    <row r="66" spans="1:52">
      <c r="A66">
        <f>A65+1</f>
        <v>34</v>
      </c>
      <c r="B66" s="128">
        <f>IFERROR(IF(COUNT($A$33:A66)&lt;=$G$38,IF($G$37="Monthly",DATE(YEAR(B65),MONTH(B65)+1,MIN(DAY(B65),28)),B65+14),""),"")</f>
        <v>43987</v>
      </c>
      <c r="C66" s="27">
        <f>IF(B66&lt;&gt;"",IF(COUNT($A$33:A66)&lt;=$G$39,0,$G$41)+IF(COUNT($A$33:A66)&lt;=$G$40,0,$G$42),0)</f>
        <v>133333.3333333333</v>
      </c>
      <c r="D66" s="170">
        <f>IFERROR(DATE(YEAR(B66),MONTH(B66),1)," ")</f>
        <v>43983</v>
      </c>
    </row>
    <row r="67" spans="1:52">
      <c r="A67">
        <f>A66+1</f>
        <v>35</v>
      </c>
      <c r="B67" s="128">
        <f>IFERROR(IF(COUNT($A$33:A67)&lt;=$G$38,IF($G$37="Monthly",DATE(YEAR(B66),MONTH(B66)+1,MIN(DAY(B66),28)),B66+14),""),"")</f>
        <v>44017</v>
      </c>
      <c r="C67" s="27">
        <f>IF(B67&lt;&gt;"",IF(COUNT($A$33:A67)&lt;=$G$39,0,$G$41)+IF(COUNT($A$33:A67)&lt;=$G$40,0,$G$42),0)</f>
        <v>133333.3333333333</v>
      </c>
      <c r="D67" s="170">
        <f>IFERROR(DATE(YEAR(B67),MONTH(B67),1)," ")</f>
        <v>44013</v>
      </c>
    </row>
    <row r="68" spans="1:52">
      <c r="A68">
        <f>A67+1</f>
        <v>36</v>
      </c>
      <c r="B68" s="128">
        <f>IFERROR(IF(COUNT($A$33:A68)&lt;=$G$38,IF($G$37="Monthly",DATE(YEAR(B67),MONTH(B67)+1,MIN(DAY(B67),28)),B67+14),""),"")</f>
        <v>44048</v>
      </c>
      <c r="C68" s="27">
        <f>IF(B68&lt;&gt;"",IF(COUNT($A$33:A68)&lt;=$G$39,0,$G$41)+IF(COUNT($A$33:A68)&lt;=$G$40,0,$G$42),0)</f>
        <v>133333.3333333333</v>
      </c>
      <c r="D68" s="170">
        <f>IFERROR(DATE(YEAR(B68),MONTH(B68),1)," ")</f>
        <v>44044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95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204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298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298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298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298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111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99</v>
      </c>
      <c r="B41" s="191" t="s">
        <v>314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316</v>
      </c>
      <c r="H52" s="12" t="s">
        <v>130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232</v>
      </c>
      <c r="E53" s="10" t="s">
        <v>191</v>
      </c>
      <c r="F53" s="10" t="s">
        <v>251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314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314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314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314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314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314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314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169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228</v>
      </c>
      <c r="J76" s="11" t="s">
        <v>350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314</v>
      </c>
      <c r="F77" s="12" t="s">
        <v>314</v>
      </c>
      <c r="G77" s="12" t="s">
        <v>352</v>
      </c>
      <c r="H77" s="12" t="s">
        <v>130</v>
      </c>
      <c r="I77" s="12" t="s">
        <v>353</v>
      </c>
      <c r="J77" s="136" t="s">
        <v>354</v>
      </c>
      <c r="K77" s="12" t="s">
        <v>314</v>
      </c>
      <c r="AJ77" s="12"/>
    </row>
    <row r="78" spans="1:36">
      <c r="A78" t="s">
        <v>314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112</v>
      </c>
      <c r="H78" s="12" t="s">
        <v>317</v>
      </c>
      <c r="I78" s="12" t="s">
        <v>358</v>
      </c>
      <c r="J78" s="70" t="s">
        <v>359</v>
      </c>
      <c r="K78" s="12" t="s">
        <v>314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169</v>
      </c>
      <c r="J79" s="70" t="s">
        <v>363</v>
      </c>
      <c r="K79" s="12" t="s">
        <v>314</v>
      </c>
      <c r="AJ79" s="12"/>
    </row>
    <row r="80" spans="1:36">
      <c r="B80" s="176">
        <v>20</v>
      </c>
      <c r="C80" s="12" t="s">
        <v>156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155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154</v>
      </c>
      <c r="D82" s="12">
        <f>D81+1</f>
        <v>4</v>
      </c>
      <c r="J82" s="70"/>
    </row>
    <row r="83" spans="1:36">
      <c r="B83" s="176">
        <v>50</v>
      </c>
      <c r="C83" s="12" t="s">
        <v>153</v>
      </c>
      <c r="D83" s="12">
        <f>D82+1</f>
        <v>5</v>
      </c>
    </row>
    <row r="84" spans="1:36">
      <c r="B84" s="176">
        <v>60</v>
      </c>
      <c r="C84" s="12" t="s">
        <v>152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96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