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<sst xmlns="http://schemas.openxmlformats.org/spreadsheetml/2006/main" uniqueCount="371">
  <si>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</si>
  <si>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</si>
  <si>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</si>
  <si>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</si>
  <si>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</si>
  <si>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</si>
  <si>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</si>
  <si>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</si>
  <si>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</si>
  <si>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</si>
  <si>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</si>
  <si>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</si>
  <si>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</si>
  <si>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</si>
  <si>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</si>
  <si>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</si>
  <si>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</si>
  <si>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</si>
  <si>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</si>
  <si>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</si>
  <si>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</si>
  <si>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</si>
  <si>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</si>
  <si>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</si>
  <si>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</si>
  <si>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</si>
  <si>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</si>
  <si>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</si>
  <si>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</si>
  <si>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</si>
  <si>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</si>
  <si>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</si>
  <si>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</si>
  <si>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</si>
  <si>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</si>
  <si>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</si>
  <si>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</si>
  <si>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</si>
  <si>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</si>
  <si>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</si>
  <si>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</si>
  <si>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</si>
  <si>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</si>
  <si>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</si>
  <si>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</si>
  <si>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</si>
  <si>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</si>
  <si>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</si>
  <si>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</si>
  <si>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</si>
  <si>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</si>
  <si>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</si>
  <si>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</si>
  <si>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</si>
  <si>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</si>
  <si>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</si>
  <si>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</si>
  <si>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</si>
  <si>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</si>
  <si>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</si>
  <si>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</si>
  <si>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</si>
  <si>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</si>
  <si>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</si>
  <si>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</si>
  <si>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</si>
  <si>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</si>
  <si>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</si>
  <si>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</si>
  <si>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</si>
  <si>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</si>
  <si>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</si>
  <si>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</si>
  <si>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</si>
  <si>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</si>
  <si>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</si>
  <si>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</si>
  <si>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</si>
  <si>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</si>
  <si>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</si>
  <si>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</si>
  <si>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</si>
  <si>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</si>
  <si>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</si>
  <si>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</si>
  <si>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</si>
  <si>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</si>
  <si>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</si>
  <si>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</si>
  <si>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</si>
  <si>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</si>
  <si>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</si>
  <si>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</si>
  <si>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</si>
  <si>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October</t>
  </si>
  <si>
    <t>Tomatoes</t>
  </si>
  <si>
    <t>August</t>
  </si>
  <si>
    <t>Cabbages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</si>
  <si>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</si>
  <si>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</si>
  <si>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</si>
  <si>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</si>
  <si>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</si>
  <si>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</si>
  <si>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</si>
  <si>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</si>
  <si>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</si>
  <si>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</si>
  <si>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</si>
  <si>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</si>
  <si>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</si>
  <si>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</si>
  <si>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</si>
  <si>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</si>
  <si>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</si>
  <si>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</si>
  <si>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</si>
  <si>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Civil Servant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</si>
  <si>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</si>
  <si>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</si>
  <si>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</si>
  <si>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</si>
  <si>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</si>
  <si>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</si>
  <si>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</si>
  <si>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</si>
  <si>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</si>
  <si>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</si>
  <si>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</si>
  <si>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</si>
  <si>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</si>
  <si>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</si>
  <si>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</si>
  <si>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</si>
  <si>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</si>
  <si>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</si>
  <si>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</si>
  <si>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</si>
  <si>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</si>
  <si>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</si>
  <si>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</si>
  <si>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</si>
  <si>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</si>
  <si>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</si>
  <si>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</si>
  <si>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2/17/17</t>
  </si>
  <si>
    <t>Premier Kenya</t>
  </si>
  <si>
    <t>Well Serviced</t>
  </si>
  <si>
    <t>5/25/17</t>
  </si>
  <si>
    <t>County Capital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</si>
  <si>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</si>
  <si>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</si>
  <si>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</si>
  <si>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</si>
  <si>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</si>
  <si>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</si>
  <si>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</si>
  <si>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</si>
  <si>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</si>
  <si>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</si>
  <si>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</si>
  <si>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</si>
  <si>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2017/7/24</t>
  </si>
  <si>
    <t>Loan terms</t>
  </si>
  <si>
    <t>Expected disbursement date</t>
  </si>
  <si>
    <t>2017/7/28</t>
  </si>
  <si>
    <t>Expected first repayment date</t>
  </si>
  <si>
    <t>2017/9/4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</si>
  <si>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</si>
  <si>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</si>
  <si>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</si>
  <si>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</si>
  <si>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</si>
  <si>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</si>
  <si>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</si>
  <si>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</si>
  <si>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</si>
  <si>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</si>
  <si>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</si>
  <si>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</si>
  <si>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</si>
  <si>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</si>
  <si>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</si>
  <si>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</si>
  <si>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</si>
  <si>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</si>
  <si>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</si>
  <si>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</si>
  <si>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</si>
  <si>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</si>
  <si>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</si>
  <si>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</si>
  <si>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</si>
  <si>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</si>
  <si>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</si>
  <si>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</si>
  <si>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</si>
  <si>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</si>
  <si>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</si>
  <si>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</si>
  <si>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</si>
  <si>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</si>
  <si>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</si>
  <si>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</si>
  <si>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</si>
  <si>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</si>
  <si>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</si>
  <si>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</si>
  <si>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</si>
  <si>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</si>
  <si>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</si>
  <si>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</si>
  <si>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</si>
  <si>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</si>
  <si>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</si>
  <si>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</si>
  <si>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</si>
  <si>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</si>
  <si>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</si>
  <si>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</si>
  <si>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</si>
  <si>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</si>
  <si>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</si>
  <si>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</si>
  <si>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</si>
  <si>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</si>
  <si>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</si>
  <si>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</si>
  <si>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</si>
  <si>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</si>
  <si>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</si>
  <si>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</si>
  <si>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</si>
  <si>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</si>
  <si>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</si>
  <si>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</si>
  <si>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</si>
  <si>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</si>
  <si>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</si>
  <si>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</si>
  <si>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</si>
  <si>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</si>
  <si>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</si>
  <si>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</si>
  <si>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</si>
  <si>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</si>
  <si>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</si>
  <si>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</si>
  <si>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</si>
  <si>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</si>
  <si>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</si>
  <si>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</si>
  <si>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</si>
  <si>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</si>
  <si>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</si>
  <si>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</si>
  <si>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</si>
  <si>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</si>
  <si>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</si>
  <si>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</si>
  <si>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</si>
  <si>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</si>
  <si>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</si>
  <si>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</si>
  <si>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</si>
  <si>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</si>
  <si>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</si>
  <si>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</si>
  <si>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</si>
  <si>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</si>
  <si>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</si>
  <si>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</si>
  <si>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</si>
  <si>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</si>
  <si>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</si>
  <si>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</si>
  <si>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</si>
  <si>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</si>
  <si>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</si>
  <si>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</si>
  <si>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</si>
  <si>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</si>
  <si>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</si>
  <si>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</si>
  <si>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</si>
  <si>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</si>
  <si>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</si>
  <si>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</si>
  <si>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</si>
  <si>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</si>
  <si>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</si>
  <si>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</si>
  <si>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</si>
  <si>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</si>
  <si>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</si>
  <si>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</si>
  <si>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</si>
  <si>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</si>
  <si>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</si>
  <si>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</si>
  <si>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</si>
  <si>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</si>
  <si>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</si>
  <si>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</si>
  <si>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</si>
  <si>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</si>
  <si>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</si>
  <si>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</si>
  <si>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</si>
  <si>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</si>
  <si>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</si>
  <si>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</si>
  <si>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</si>
  <si>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</si>
  <si>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</si>
  <si>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</si>
  <si>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</si>
  <si>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</si>
  <si>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</si>
  <si>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</si>
  <si>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</si>
  <si>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</si>
  <si>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</si>
  <si>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</si>
  <si>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</si>
  <si>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</si>
  <si>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</si>
  <si>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</si>
  <si>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</si>
  <si>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</si>
  <si>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</si>
  <si>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</si>
  <si>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</si>
  <si>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</si>
  <si>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</si>
  <si>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</si>
  <si>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</si>
  <si>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</si>
  <si>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</si>
  <si>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</si>
  <si>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</si>
  <si>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</si>
  <si>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</si>
  <si>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</si>
  <si>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</si>
  <si>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</si>
  <si>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</si>
  <si>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</si>
  <si>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</si>
  <si>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</si>
  <si>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</si>
  <si>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</si>
  <si>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</si>
  <si>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</si>
  <si>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</si>
  <si>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</si>
  <si>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</si>
  <si>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</si>
  <si>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</si>
  <si>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</si>
  <si>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</si>
  <si>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</si>
  <si>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</si>
  <si>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</si>
  <si>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</si>
  <si>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</si>
  <si>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</si>
  <si>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NGO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</si>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</sst>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Tomatoes,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Civil Servant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0.1714577955900902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0.0103821028478877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588198.8225820155</v>
      </c>
    </row>
    <row r="18" spans="1:7">
      <c r="B18" s="1" t="s">
        <v>12</v>
      </c>
      <c r="C18" s="36">
        <f>MIN(Output!B6:M6)</f>
        <v>-14576.96614831488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149650.3165410831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60000</v>
      </c>
    </row>
    <row r="25" spans="1:7">
      <c r="B25" s="1" t="s">
        <v>18</v>
      </c>
      <c r="C25" s="36">
        <f>MAX(Inputs!A56:A60)</f>
        <v>70000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-1848.966148314881</v>
      </c>
      <c r="C6" s="51">
        <f>C30-C88</f>
        <v>-1949.592715451261</v>
      </c>
      <c r="D6" s="51">
        <f>D30-D88</f>
        <v>6992.953964022512</v>
      </c>
      <c r="E6" s="51">
        <f>E30-E88</f>
        <v>-14576.96614831488</v>
      </c>
      <c r="F6" s="51">
        <f>F30-F88</f>
        <v>139085.104226858</v>
      </c>
      <c r="G6" s="51">
        <f>G30-G88</f>
        <v>144442.3781122083</v>
      </c>
      <c r="H6" s="51">
        <f>H30-H88</f>
        <v>5891.246165910175</v>
      </c>
      <c r="I6" s="51">
        <f>I30-I88</f>
        <v>5790.619598773796</v>
      </c>
      <c r="J6" s="51">
        <f>J30-J88</f>
        <v>14733.16627824757</v>
      </c>
      <c r="K6" s="51">
        <f>K30-K88</f>
        <v>-6836.753834089825</v>
      </c>
      <c r="L6" s="51">
        <f>L30-L88</f>
        <v>146825.3165410831</v>
      </c>
      <c r="M6" s="51">
        <f>M30-M88</f>
        <v>149650.3165410831</v>
      </c>
      <c r="N6" s="51">
        <f>N30-N88</f>
        <v>5891.246165910175</v>
      </c>
      <c r="O6" s="51">
        <f>O30-O88</f>
        <v>5790.619598773796</v>
      </c>
      <c r="P6" s="51">
        <f>P30-P88</f>
        <v>14733.16627824757</v>
      </c>
      <c r="Q6" s="51">
        <f>Q30-Q88</f>
        <v>-6836.753834089825</v>
      </c>
      <c r="R6" s="51">
        <f>R30-R88</f>
        <v>146825.3165410831</v>
      </c>
      <c r="S6" s="51">
        <f>S30-S88</f>
        <v>149650.3165410831</v>
      </c>
      <c r="T6" s="51">
        <f>T30-T88</f>
        <v>5891.246165910175</v>
      </c>
      <c r="U6" s="51">
        <f>U30-U88</f>
        <v>5790.619598773796</v>
      </c>
      <c r="V6" s="51">
        <f>V30-V88</f>
        <v>14733.16627824757</v>
      </c>
      <c r="W6" s="51">
        <f>W30-W88</f>
        <v>-6836.753834089825</v>
      </c>
      <c r="X6" s="51">
        <f>X30-X88</f>
        <v>146825.3165410831</v>
      </c>
      <c r="Y6" s="51">
        <f>Y30-Y88</f>
        <v>149650.3165410831</v>
      </c>
      <c r="Z6" s="51">
        <f>SUMIF($B$13:$Y$13,"Yes",B6:Y6)</f>
        <v>599880.6883466995</v>
      </c>
      <c r="AA6" s="51">
        <f>AA30-AA88</f>
        <v>588198.8225820157</v>
      </c>
      <c r="AB6" s="51">
        <f>AB30-AB88</f>
        <v>1220306.645164032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21900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21625</v>
      </c>
      <c r="J7" s="80">
        <f>IF(ISERROR(VLOOKUP(MONTH(J5),Inputs!$D$66:$D$71,1,0)),"",INDEX(Inputs!$B$66:$B$71,MATCH(MONTH(Output!J5),Inputs!$D$66:$D$71,0))-INDEX(Inputs!$C$66:$C$71,MATCH(MONTH(Output!J5),Inputs!$D$66:$D$71,0)))</f>
        <v>20522</v>
      </c>
      <c r="K7" s="80">
        <f>IF(ISERROR(VLOOKUP(MONTH(K5),Inputs!$D$66:$D$71,1,0)),"",INDEX(Inputs!$B$66:$B$71,MATCH(MONTH(Output!K5),Inputs!$D$66:$D$71,0))-INDEX(Inputs!$C$66:$C$71,MATCH(MONTH(Output!K5),Inputs!$D$66:$D$71,0)))</f>
        <v>23280</v>
      </c>
      <c r="L7" s="80">
        <f>IF(ISERROR(VLOOKUP(MONTH(L5),Inputs!$D$66:$D$71,1,0)),"",INDEX(Inputs!$B$66:$B$71,MATCH(MONTH(Output!L5),Inputs!$D$66:$D$71,0))-INDEX(Inputs!$C$66:$C$71,MATCH(MONTH(Output!L5),Inputs!$D$66:$D$71,0)))</f>
        <v>13070</v>
      </c>
      <c r="M7" s="80">
        <f>IF(ISERROR(VLOOKUP(MONTH(M5),Inputs!$D$66:$D$71,1,0)),"",INDEX(Inputs!$B$66:$B$71,MATCH(MONTH(Output!M5),Inputs!$D$66:$D$71,0))-INDEX(Inputs!$C$66:$C$71,MATCH(MONTH(Output!M5),Inputs!$D$66:$D$71,0)))</f>
        <v>20743</v>
      </c>
      <c r="N7" s="80">
        <f>IF(ISERROR(VLOOKUP(MONTH(N5),Inputs!$D$66:$D$71,1,0)),"",INDEX(Inputs!$B$66:$B$71,MATCH(MONTH(Output!N5),Inputs!$D$66:$D$71,0))-INDEX(Inputs!$C$66:$C$71,MATCH(MONTH(Output!N5),Inputs!$D$66:$D$71,0)))</f>
        <v>21900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21625</v>
      </c>
      <c r="V7" s="80">
        <f>IF(ISERROR(VLOOKUP(MONTH(V5),Inputs!$D$66:$D$71,1,0)),"",INDEX(Inputs!$B$66:$B$71,MATCH(MONTH(Output!V5),Inputs!$D$66:$D$71,0))-INDEX(Inputs!$C$66:$C$71,MATCH(MONTH(Output!V5),Inputs!$D$66:$D$71,0)))</f>
        <v>20522</v>
      </c>
      <c r="W7" s="80">
        <f>IF(ISERROR(VLOOKUP(MONTH(W5),Inputs!$D$66:$D$71,1,0)),"",INDEX(Inputs!$B$66:$B$71,MATCH(MONTH(Output!W5),Inputs!$D$66:$D$71,0))-INDEX(Inputs!$C$66:$C$71,MATCH(MONTH(Output!W5),Inputs!$D$66:$D$71,0)))</f>
        <v>23280</v>
      </c>
      <c r="X7" s="80">
        <f>IF(ISERROR(VLOOKUP(MONTH(X5),Inputs!$D$66:$D$71,1,0)),"",INDEX(Inputs!$B$66:$B$71,MATCH(MONTH(Output!X5),Inputs!$D$66:$D$71,0))-INDEX(Inputs!$C$66:$C$71,MATCH(MONTH(Output!X5),Inputs!$D$66:$D$71,0)))</f>
        <v>13070</v>
      </c>
      <c r="Y7" s="80">
        <f>IF(ISERROR(VLOOKUP(MONTH(Y5),Inputs!$D$66:$D$71,1,0)),"",INDEX(Inputs!$B$66:$B$71,MATCH(MONTH(Output!Y5),Inputs!$D$66:$D$71,0))-INDEX(Inputs!$C$66:$C$71,MATCH(MONTH(Output!Y5),Inputs!$D$66:$D$71,0)))</f>
        <v>20743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98151.03385168512</v>
      </c>
      <c r="C11" s="80">
        <f>C6+C9-C10</f>
        <v>-1949.592715451261</v>
      </c>
      <c r="D11" s="80">
        <f>D6+D9-D10</f>
        <v>-3007.046035977488</v>
      </c>
      <c r="E11" s="80">
        <f>E6+E9-E10</f>
        <v>-24576.96614831488</v>
      </c>
      <c r="F11" s="80">
        <f>F6+F9-F10</f>
        <v>129085.104226858</v>
      </c>
      <c r="G11" s="80">
        <f>G6+G9-G10</f>
        <v>134442.3781122083</v>
      </c>
      <c r="H11" s="80">
        <f>H6+H9-H10</f>
        <v>-4108.753834089825</v>
      </c>
      <c r="I11" s="80">
        <f>I6+I9-I10</f>
        <v>-4209.380401226204</v>
      </c>
      <c r="J11" s="80">
        <f>J6+J9-J10</f>
        <v>4733.166278247569</v>
      </c>
      <c r="K11" s="80">
        <f>K6+K9-K10</f>
        <v>-16836.75383408982</v>
      </c>
      <c r="L11" s="80">
        <f>L6+L9-L10</f>
        <v>136825.3165410831</v>
      </c>
      <c r="M11" s="80">
        <f>M6+M9-M10</f>
        <v>139650.3165410831</v>
      </c>
      <c r="N11" s="80">
        <f>N6+N9-N10</f>
        <v>-4108.753834089825</v>
      </c>
      <c r="O11" s="80">
        <f>O6+O9-O10</f>
        <v>-4209.380401226204</v>
      </c>
      <c r="P11" s="80">
        <f>P6+P9-P10</f>
        <v>14733.16627824757</v>
      </c>
      <c r="Q11" s="80">
        <f>Q6+Q9-Q10</f>
        <v>-6836.753834089825</v>
      </c>
      <c r="R11" s="80">
        <f>R6+R9-R10</f>
        <v>146825.3165410831</v>
      </c>
      <c r="S11" s="80">
        <f>S6+S9-S10</f>
        <v>149650.3165410831</v>
      </c>
      <c r="T11" s="80">
        <f>T6+T9-T10</f>
        <v>5891.246165910175</v>
      </c>
      <c r="U11" s="80">
        <f>U6+U9-U10</f>
        <v>5790.619598773796</v>
      </c>
      <c r="V11" s="80">
        <f>V6+V9-V10</f>
        <v>14733.16627824757</v>
      </c>
      <c r="W11" s="80">
        <f>W6+W9-W10</f>
        <v>-6836.753834089825</v>
      </c>
      <c r="X11" s="80">
        <f>X6+X9-X10</f>
        <v>146825.3165410831</v>
      </c>
      <c r="Y11" s="80">
        <f>Y6+Y9-Y10</f>
        <v>149650.3165410831</v>
      </c>
      <c r="Z11" s="85">
        <f>SUMIF($B$13:$Y$13,"Yes",B11:Y11)</f>
        <v>579880.6883466995</v>
      </c>
      <c r="AA11" s="80">
        <f>SUM(B11:M11)</f>
        <v>588198.8225820155</v>
      </c>
      <c r="AB11" s="46">
        <f>SUM(B11:Y11)</f>
        <v>1200306.645164031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0.09690448779010437</v>
      </c>
      <c r="E12" s="82">
        <f>IF(E13="Yes",IF(SUM($B$10:E10)/(SUM($B$6:E6)+SUM($B$9:E9))&lt;0,999.99,SUM($B$10:E10)/(SUM($B$6:E6)+SUM($B$9:E9))),"")</f>
        <v>0.2256892378455968</v>
      </c>
      <c r="F12" s="82">
        <f>IF(F13="Yes",IF(SUM($B$10:F10)/(SUM($B$6:F6)+SUM($B$9:F9))&lt;0,999.99,SUM($B$10:F10)/(SUM($B$6:F6)+SUM($B$9:F9))),"")</f>
        <v>0.1317508399278238</v>
      </c>
      <c r="G12" s="82">
        <f>IF(G13="Yes",IF(SUM($B$10:G10)/(SUM($B$6:G6)+SUM($B$9:G9))&lt;0,999.99,SUM($B$10:G10)/(SUM($B$6:G6)+SUM($B$9:G9))),"")</f>
        <v>0.1074850113124912</v>
      </c>
      <c r="H12" s="82">
        <f>IF(H13="Yes",IF(SUM($B$10:H10)/(SUM($B$6:H6)+SUM($B$9:H9))&lt;0,999.99,SUM($B$10:H10)/(SUM($B$6:H6)+SUM($B$9:H9))),"")</f>
        <v>0.1322624807541012</v>
      </c>
      <c r="I12" s="82">
        <f>IF(I13="Yes",IF(SUM($B$10:I10)/(SUM($B$6:I6)+SUM($B$9:I9))&lt;0,999.99,SUM($B$10:I10)/(SUM($B$6:I6)+SUM($B$9:I9))),"")</f>
        <v>0.1563205164065305</v>
      </c>
      <c r="J12" s="82">
        <f>IF(J13="Yes",IF(SUM($B$10:J10)/(SUM($B$6:J6)+SUM($B$9:J9))&lt;0,999.99,SUM($B$10:J10)/(SUM($B$6:J6)+SUM($B$9:J9))),"")</f>
        <v>0.1756323011651712</v>
      </c>
      <c r="K12" s="82">
        <f>IF(K13="Yes",IF(SUM($B$10:K10)/(SUM($B$6:K6)+SUM($B$9:K9))&lt;0,999.99,SUM($B$10:K10)/(SUM($B$6:K6)+SUM($B$9:K9))),"")</f>
        <v>0.2042258465784057</v>
      </c>
      <c r="L12" s="82">
        <f>IF(L13="Yes",IF(SUM($B$10:L10)/(SUM($B$6:L6)+SUM($B$9:L9))&lt;0,999.99,SUM($B$10:L10)/(SUM($B$6:L6)+SUM($B$9:L9))),"")</f>
        <v>0.1671158660556372</v>
      </c>
      <c r="M12" s="82">
        <f>IF(M13="Yes",IF(SUM($B$10:M10)/(SUM($B$6:M6)+SUM($B$9:M9))&lt;0,999.99,SUM($B$10:M10)/(SUM($B$6:M6)+SUM($B$9:M9))),"")</f>
        <v>0.1453068455200424</v>
      </c>
      <c r="N12" s="82">
        <f>IF(N13="Yes",IF(SUM($B$10:N10)/(SUM($B$6:N6)+SUM($B$9:N9))&lt;0,999.99,SUM($B$10:N10)/(SUM($B$6:N6)+SUM($B$9:N9))),"")</f>
        <v>0.1584808729484198</v>
      </c>
      <c r="O12" s="82">
        <f>IF(O13="Yes",IF(SUM($B$10:O10)/(SUM($B$6:O6)+SUM($B$9:O9))&lt;0,999.99,SUM($B$10:O10)/(SUM($B$6:O6)+SUM($B$9:O9))),"")</f>
        <v>0.1714577955900902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9472.43342694783</v>
      </c>
      <c r="D18" s="36">
        <f>P18</f>
        <v>11366.9201123374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9472.43342694783</v>
      </c>
      <c r="J18" s="36">
        <f>V18</f>
        <v>11366.9201123374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9472.43342694783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11366.9201123374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9472.43342694783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11366.9201123374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51151.14050551828</v>
      </c>
      <c r="AA18" s="36">
        <f>SUM(B18:M18)</f>
        <v>41678.70707857045</v>
      </c>
      <c r="AB18" s="36">
        <f>SUM(B18:Y18)</f>
        <v>83357.4141571409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84058.55810515305</v>
      </c>
      <c r="G19" s="36">
        <f>S19</f>
        <v>84058.55810515305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84058.55810515305</v>
      </c>
      <c r="M19" s="36">
        <f>Y19</f>
        <v>84058.55810515305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84058.55810515305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84058.55810515305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84058.55810515305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84058.55810515305</v>
      </c>
      <c r="Z19" s="36">
        <f>SUMIF($B$13:$Y$13,"Yes",B19:Y19)</f>
        <v>336234.2324206122</v>
      </c>
      <c r="AA19" s="36">
        <f>SUM(B19:M19)</f>
        <v>336234.2324206122</v>
      </c>
      <c r="AB19" s="36">
        <f>SUM(B19:Y19)</f>
        <v>672468.4648412244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60000.51227001985</v>
      </c>
      <c r="G20" s="36">
        <f>S20</f>
        <v>60000.51227001985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60000.51227001985</v>
      </c>
      <c r="M20" s="36">
        <f>Y20</f>
        <v>60000.51227001985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60000.51227001985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60000.51227001985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60000.51227001985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60000.51227001985</v>
      </c>
      <c r="Z20" s="36">
        <f>SUMIF($B$13:$Y$13,"Yes",B20:Y20)</f>
        <v>240002.0490800794</v>
      </c>
      <c r="AA20" s="36">
        <f>SUM(B20:M20)</f>
        <v>240002.0490800794</v>
      </c>
      <c r="AB20" s="36">
        <f>SUM(B20:Y20)</f>
        <v>480004.0981601588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423592.1052631579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210000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45256.57894736843</v>
      </c>
      <c r="C30" s="19">
        <f>SUM(C18:C29)</f>
        <v>54729.01237431625</v>
      </c>
      <c r="D30" s="19">
        <f>SUM(D18:D29)</f>
        <v>56623.49905970582</v>
      </c>
      <c r="E30" s="19">
        <f>SUM(E18:E29)</f>
        <v>45256.57894736843</v>
      </c>
      <c r="F30" s="19">
        <f>SUM(F18:F29)</f>
        <v>189315.6493225413</v>
      </c>
      <c r="G30" s="19">
        <f>SUM(G18:G29)</f>
        <v>189315.6493225413</v>
      </c>
      <c r="H30" s="19">
        <f>SUM(H18:H29)</f>
        <v>45256.57894736843</v>
      </c>
      <c r="I30" s="19">
        <f>SUM(I18:I29)</f>
        <v>54729.01237431625</v>
      </c>
      <c r="J30" s="19">
        <f>SUM(J18:J29)</f>
        <v>56623.49905970582</v>
      </c>
      <c r="K30" s="19">
        <f>SUM(K18:K29)</f>
        <v>45256.57894736843</v>
      </c>
      <c r="L30" s="19">
        <f>SUM(L18:L29)</f>
        <v>189315.6493225413</v>
      </c>
      <c r="M30" s="19">
        <f>SUM(M18:M29)</f>
        <v>189315.6493225413</v>
      </c>
      <c r="N30" s="19">
        <f>SUM(N18:N29)</f>
        <v>45256.57894736843</v>
      </c>
      <c r="O30" s="19">
        <f>SUM(O18:O29)</f>
        <v>54729.01237431625</v>
      </c>
      <c r="P30" s="19">
        <f>SUM(P18:P29)</f>
        <v>56623.49905970582</v>
      </c>
      <c r="Q30" s="19">
        <f>SUM(Q18:Q29)</f>
        <v>45256.57894736843</v>
      </c>
      <c r="R30" s="19">
        <f>SUM(R18:R29)</f>
        <v>189315.6493225413</v>
      </c>
      <c r="S30" s="19">
        <f>SUM(S18:S29)</f>
        <v>189315.6493225413</v>
      </c>
      <c r="T30" s="19">
        <f>SUM(T18:T29)</f>
        <v>45256.57894736843</v>
      </c>
      <c r="U30" s="19">
        <f>SUM(U18:U29)</f>
        <v>54729.01237431625</v>
      </c>
      <c r="V30" s="19">
        <f>SUM(V18:V29)</f>
        <v>56623.49905970582</v>
      </c>
      <c r="W30" s="19">
        <f>SUM(W18:W29)</f>
        <v>45256.57894736843</v>
      </c>
      <c r="X30" s="19">
        <f>SUM(X18:X29)</f>
        <v>189315.6493225413</v>
      </c>
      <c r="Y30" s="19">
        <f>SUM(Y18:Y29)</f>
        <v>189315.6493225413</v>
      </c>
      <c r="Z30" s="19">
        <f>SUMIF($B$13:$Y$13,"Yes",B30:Y30)</f>
        <v>1260979.527269368</v>
      </c>
      <c r="AA30" s="19">
        <f>SUM(B30:M30)</f>
        <v>1160993.935947683</v>
      </c>
      <c r="AB30" s="19">
        <f>SUM(B30:Y30)</f>
        <v>2321987.871895367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2000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2000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2000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2000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2000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2000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2000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6000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1356</v>
      </c>
      <c r="D42" s="36">
        <f>P42</f>
        <v>0</v>
      </c>
      <c r="E42" s="36">
        <f>Q42</f>
        <v>303.0000000000001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1356</v>
      </c>
      <c r="J42" s="36">
        <f>V42</f>
        <v>0</v>
      </c>
      <c r="K42" s="36">
        <f>W42</f>
        <v>303.0000000000001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1356</v>
      </c>
      <c r="P42" s="36">
        <f>SUM(P43:P47)</f>
        <v>0</v>
      </c>
      <c r="Q42" s="36">
        <f>SUM(Q43:Q47)</f>
        <v>303.0000000000001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1356</v>
      </c>
      <c r="V42" s="36">
        <f>SUM(V43:V47)</f>
        <v>0</v>
      </c>
      <c r="W42" s="36">
        <f>SUM(W43:W47)</f>
        <v>303.0000000000001</v>
      </c>
      <c r="X42" s="36">
        <f>SUM(X43:X47)</f>
        <v>0</v>
      </c>
      <c r="Y42" s="36">
        <f>SUM(Y43:Y47)</f>
        <v>0</v>
      </c>
      <c r="Z42" s="36">
        <f>SUMIF($B$13:$Y$13,"Yes",B42:Y42)</f>
        <v>4674</v>
      </c>
      <c r="AA42" s="36">
        <f>SUM(B42:M42)</f>
        <v>3318</v>
      </c>
      <c r="AB42" s="36">
        <f>SUM(B42:Y42)</f>
        <v>6636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303.0000000000001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303.0000000000001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303.0000000000001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303.0000000000001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750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750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750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750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2250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606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606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606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606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1818</v>
      </c>
      <c r="AA45" s="36">
        <f>SUM(B45:M45)</f>
        <v>1212</v>
      </c>
      <c r="AB45" s="36">
        <f>SUM(B45:Y45)</f>
        <v>2424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7300</v>
      </c>
      <c r="F48" s="36">
        <f>R48</f>
        <v>0</v>
      </c>
      <c r="G48" s="36">
        <f>S48</f>
        <v>300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7300</v>
      </c>
      <c r="L48" s="36">
        <f>X48</f>
        <v>0</v>
      </c>
      <c r="M48" s="36">
        <f>Y48</f>
        <v>300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7300</v>
      </c>
      <c r="R48" s="46">
        <f>SUM(R49:R53)</f>
        <v>0</v>
      </c>
      <c r="S48" s="46">
        <f>SUM(S49:S53)</f>
        <v>300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7300</v>
      </c>
      <c r="X48" s="46">
        <f>SUM(X49:X53)</f>
        <v>0</v>
      </c>
      <c r="Y48" s="46">
        <f>SUM(Y49:Y53)</f>
        <v>300</v>
      </c>
      <c r="Z48" s="46">
        <f>SUMIF($B$13:$Y$13,"Yes",B48:Y48)</f>
        <v>15200</v>
      </c>
      <c r="AA48" s="46">
        <f>SUM(B48:M48)</f>
        <v>15200</v>
      </c>
      <c r="AB48" s="46">
        <f>SUM(B48:Y48)</f>
        <v>30400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300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300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300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300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4500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4500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4500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4500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2800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2800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2800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2800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5600</v>
      </c>
      <c r="AA51" s="46">
        <f>SUM(B51:M51)</f>
        <v>5600</v>
      </c>
      <c r="AB51" s="46">
        <f>SUM(B51:Y51)</f>
        <v>11200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1092.059994084211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1092.059994084211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1092.059994084211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1092.059994084211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3276.179982252633</v>
      </c>
      <c r="AA54" s="46">
        <f>SUM(B54:M54)</f>
        <v>2184.119988168422</v>
      </c>
      <c r="AB54" s="46">
        <f>SUM(B54:Y54)</f>
        <v>4368.239976336844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1092.059994084211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1092.059994084211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1092.059994084211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1092.059994084211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3276.179982252633</v>
      </c>
      <c r="AA55" s="46">
        <f>SUM(B55:M55)</f>
        <v>2184.119988168422</v>
      </c>
      <c r="AB55" s="46">
        <f>SUM(B55:Y55)</f>
        <v>4368.239976336844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600</v>
      </c>
      <c r="C66" s="36">
        <f>O66</f>
        <v>3725</v>
      </c>
      <c r="D66" s="36">
        <f>P66</f>
        <v>3125</v>
      </c>
      <c r="E66" s="36">
        <f>Q66</f>
        <v>3725</v>
      </c>
      <c r="F66" s="36">
        <f>R66</f>
        <v>3725</v>
      </c>
      <c r="G66" s="36">
        <f>S66</f>
        <v>600</v>
      </c>
      <c r="H66" s="36">
        <f>T66</f>
        <v>600</v>
      </c>
      <c r="I66" s="36">
        <f>U66</f>
        <v>3725</v>
      </c>
      <c r="J66" s="36">
        <f>V66</f>
        <v>3125</v>
      </c>
      <c r="K66" s="36">
        <f>W66</f>
        <v>3725</v>
      </c>
      <c r="L66" s="36">
        <f>X66</f>
        <v>3725</v>
      </c>
      <c r="M66" s="36">
        <f>Y66</f>
        <v>600</v>
      </c>
      <c r="N66" s="46">
        <f>SUM(N67:N71)</f>
        <v>600</v>
      </c>
      <c r="O66" s="46">
        <f>SUM(O67:O71)</f>
        <v>3725</v>
      </c>
      <c r="P66" s="46">
        <f>SUM(P67:P71)</f>
        <v>3125</v>
      </c>
      <c r="Q66" s="46">
        <f>SUM(Q67:Q71)</f>
        <v>3725</v>
      </c>
      <c r="R66" s="46">
        <f>SUM(R67:R71)</f>
        <v>3725</v>
      </c>
      <c r="S66" s="46">
        <f>SUM(S67:S71)</f>
        <v>600</v>
      </c>
      <c r="T66" s="46">
        <f>SUM(T67:T71)</f>
        <v>600</v>
      </c>
      <c r="U66" s="46">
        <f>SUM(U67:U71)</f>
        <v>3725</v>
      </c>
      <c r="V66" s="46">
        <f>SUM(V67:V71)</f>
        <v>3125</v>
      </c>
      <c r="W66" s="46">
        <f>SUM(W67:W71)</f>
        <v>3725</v>
      </c>
      <c r="X66" s="46">
        <f>SUM(X67:X71)</f>
        <v>3725</v>
      </c>
      <c r="Y66" s="46">
        <f>SUM(Y67:Y71)</f>
        <v>600</v>
      </c>
      <c r="Z66" s="46">
        <f>SUMIF($B$13:$Y$13,"Yes",B66:Y66)</f>
        <v>35325</v>
      </c>
      <c r="AA66" s="46">
        <f>SUM(B66:M66)</f>
        <v>31000</v>
      </c>
      <c r="AB66" s="46">
        <f>SUM(B66:Y66)</f>
        <v>62000</v>
      </c>
    </row>
    <row r="67" spans="1:30" hidden="true" outlineLevel="1">
      <c r="A67" s="181" t="str">
        <f>Calculations!$A$4</f>
        <v>Maize</v>
      </c>
      <c r="B67" s="36">
        <f>N67</f>
        <v>600</v>
      </c>
      <c r="C67" s="36">
        <f>O67</f>
        <v>600</v>
      </c>
      <c r="D67" s="36">
        <f>P67</f>
        <v>0</v>
      </c>
      <c r="E67" s="36">
        <f>Q67</f>
        <v>600</v>
      </c>
      <c r="F67" s="36">
        <f>R67</f>
        <v>600</v>
      </c>
      <c r="G67" s="36">
        <f>S67</f>
        <v>600</v>
      </c>
      <c r="H67" s="36">
        <f>T67</f>
        <v>600</v>
      </c>
      <c r="I67" s="36">
        <f>U67</f>
        <v>600</v>
      </c>
      <c r="J67" s="36">
        <f>V67</f>
        <v>0</v>
      </c>
      <c r="K67" s="36">
        <f>W67</f>
        <v>600</v>
      </c>
      <c r="L67" s="36">
        <f>X67</f>
        <v>600</v>
      </c>
      <c r="M67" s="36">
        <f>Y67</f>
        <v>600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600</v>
      </c>
      <c r="Z67" s="46">
        <f>SUMIF($B$13:$Y$13,"Yes",B67:Y67)</f>
        <v>7200</v>
      </c>
      <c r="AA67" s="46">
        <f>SUM(B67:M67)</f>
        <v>6000</v>
      </c>
      <c r="AB67" s="46">
        <f>SUM(B67:Y67)</f>
        <v>12000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2187.5</v>
      </c>
      <c r="D68" s="36">
        <f>P68</f>
        <v>2187.5</v>
      </c>
      <c r="E68" s="36">
        <f>Q68</f>
        <v>2187.5</v>
      </c>
      <c r="F68" s="36">
        <f>R68</f>
        <v>2187.5</v>
      </c>
      <c r="G68" s="36">
        <f>S68</f>
        <v>0</v>
      </c>
      <c r="H68" s="36">
        <f>T68</f>
        <v>0</v>
      </c>
      <c r="I68" s="36">
        <f>U68</f>
        <v>2187.5</v>
      </c>
      <c r="J68" s="36">
        <f>V68</f>
        <v>2187.5</v>
      </c>
      <c r="K68" s="36">
        <f>W68</f>
        <v>2187.5</v>
      </c>
      <c r="L68" s="36">
        <f>X68</f>
        <v>2187.5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2187.5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2187.5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2187.5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2187.5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2187.5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2187.5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19687.5</v>
      </c>
      <c r="AA68" s="46">
        <f>SUM(B68:M68)</f>
        <v>17500</v>
      </c>
      <c r="AB68" s="46">
        <f>SUM(B68:Y68)</f>
        <v>35000</v>
      </c>
    </row>
    <row r="69" spans="1:30" hidden="true" outlineLevel="1">
      <c r="A69" s="181" t="str">
        <f>Calculations!$A$6</f>
        <v>Cabbages</v>
      </c>
      <c r="B69" s="36">
        <f>N69</f>
        <v>0</v>
      </c>
      <c r="C69" s="36">
        <f>O69</f>
        <v>937.5</v>
      </c>
      <c r="D69" s="36">
        <f>P69</f>
        <v>937.5</v>
      </c>
      <c r="E69" s="36">
        <f>Q69</f>
        <v>937.5</v>
      </c>
      <c r="F69" s="36">
        <f>R69</f>
        <v>937.5</v>
      </c>
      <c r="G69" s="36">
        <f>S69</f>
        <v>0</v>
      </c>
      <c r="H69" s="36">
        <f>T69</f>
        <v>0</v>
      </c>
      <c r="I69" s="36">
        <f>U69</f>
        <v>937.5</v>
      </c>
      <c r="J69" s="36">
        <f>V69</f>
        <v>937.5</v>
      </c>
      <c r="K69" s="36">
        <f>W69</f>
        <v>937.5</v>
      </c>
      <c r="L69" s="36">
        <f>X69</f>
        <v>937.5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937.5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937.5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937.5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937.5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937.5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937.5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937.5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937.5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8437.5</v>
      </c>
      <c r="AA69" s="46">
        <f>SUM(B69:M69)</f>
        <v>7500</v>
      </c>
      <c r="AB69" s="46">
        <f>SUM(B69:Y69)</f>
        <v>15000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21291.66666666666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2333.333333333333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14000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35501.39386531716</v>
      </c>
      <c r="C81" s="46">
        <f>(SUM($AA$18:$AA$29)-SUM($AA$36,$AA$42,$AA$48,$AA$54,$AA$60,$AA$66,$AA$72:$AA$79))*Parameters!$B$37/12</f>
        <v>35501.39386531716</v>
      </c>
      <c r="D81" s="46">
        <f>(SUM($AA$18:$AA$29)-SUM($AA$36,$AA$42,$AA$48,$AA$54,$AA$60,$AA$66,$AA$72:$AA$79))*Parameters!$B$37/12</f>
        <v>35501.39386531716</v>
      </c>
      <c r="E81" s="46">
        <f>(SUM($AA$18:$AA$29)-SUM($AA$36,$AA$42,$AA$48,$AA$54,$AA$60,$AA$66,$AA$72:$AA$79))*Parameters!$B$37/12</f>
        <v>35501.39386531716</v>
      </c>
      <c r="F81" s="46">
        <f>(SUM($AA$18:$AA$29)-SUM($AA$36,$AA$42,$AA$48,$AA$54,$AA$60,$AA$66,$AA$72:$AA$79))*Parameters!$B$37/12</f>
        <v>35501.39386531716</v>
      </c>
      <c r="G81" s="46">
        <f>(SUM($AA$18:$AA$29)-SUM($AA$36,$AA$42,$AA$48,$AA$54,$AA$60,$AA$66,$AA$72:$AA$79))*Parameters!$B$37/12</f>
        <v>35501.39386531716</v>
      </c>
      <c r="H81" s="46">
        <f>(SUM($AA$18:$AA$29)-SUM($AA$36,$AA$42,$AA$48,$AA$54,$AA$60,$AA$66,$AA$72:$AA$79))*Parameters!$B$37/12</f>
        <v>35501.39386531716</v>
      </c>
      <c r="I81" s="46">
        <f>(SUM($AA$18:$AA$29)-SUM($AA$36,$AA$42,$AA$48,$AA$54,$AA$60,$AA$66,$AA$72:$AA$79))*Parameters!$B$37/12</f>
        <v>35501.39386531716</v>
      </c>
      <c r="J81" s="46">
        <f>(SUM($AA$18:$AA$29)-SUM($AA$36,$AA$42,$AA$48,$AA$54,$AA$60,$AA$66,$AA$72:$AA$79))*Parameters!$B$37/12</f>
        <v>35501.39386531716</v>
      </c>
      <c r="K81" s="46">
        <f>(SUM($AA$18:$AA$29)-SUM($AA$36,$AA$42,$AA$48,$AA$54,$AA$60,$AA$66,$AA$72:$AA$79))*Parameters!$B$37/12</f>
        <v>35501.39386531716</v>
      </c>
      <c r="L81" s="46">
        <f>(SUM($AA$18:$AA$29)-SUM($AA$36,$AA$42,$AA$48,$AA$54,$AA$60,$AA$66,$AA$72:$AA$79))*Parameters!$B$37/12</f>
        <v>35501.39386531716</v>
      </c>
      <c r="M81" s="46">
        <f>(SUM($AA$18:$AA$29)-SUM($AA$36,$AA$42,$AA$48,$AA$54,$AA$60,$AA$66,$AA$72:$AA$79))*Parameters!$B$37/12</f>
        <v>35501.39386531716</v>
      </c>
      <c r="N81" s="46">
        <f>(SUM($AA$18:$AA$29)-SUM($AA$36,$AA$42,$AA$48,$AA$54,$AA$60,$AA$66,$AA$72:$AA$79))*Parameters!$B$37/12</f>
        <v>35501.39386531716</v>
      </c>
      <c r="O81" s="46">
        <f>(SUM($AA$18:$AA$29)-SUM($AA$36,$AA$42,$AA$48,$AA$54,$AA$60,$AA$66,$AA$72:$AA$79))*Parameters!$B$37/12</f>
        <v>35501.39386531716</v>
      </c>
      <c r="P81" s="46">
        <f>(SUM($AA$18:$AA$29)-SUM($AA$36,$AA$42,$AA$48,$AA$54,$AA$60,$AA$66,$AA$72:$AA$79))*Parameters!$B$37/12</f>
        <v>35501.39386531716</v>
      </c>
      <c r="Q81" s="46">
        <f>(SUM($AA$18:$AA$29)-SUM($AA$36,$AA$42,$AA$48,$AA$54,$AA$60,$AA$66,$AA$72:$AA$79))*Parameters!$B$37/12</f>
        <v>35501.39386531716</v>
      </c>
      <c r="R81" s="46">
        <f>(SUM($AA$18:$AA$29)-SUM($AA$36,$AA$42,$AA$48,$AA$54,$AA$60,$AA$66,$AA$72:$AA$79))*Parameters!$B$37/12</f>
        <v>35501.39386531716</v>
      </c>
      <c r="S81" s="46">
        <f>(SUM($AA$18:$AA$29)-SUM($AA$36,$AA$42,$AA$48,$AA$54,$AA$60,$AA$66,$AA$72:$AA$79))*Parameters!$B$37/12</f>
        <v>35501.39386531716</v>
      </c>
      <c r="T81" s="46">
        <f>(SUM($AA$18:$AA$29)-SUM($AA$36,$AA$42,$AA$48,$AA$54,$AA$60,$AA$66,$AA$72:$AA$79))*Parameters!$B$37/12</f>
        <v>35501.39386531716</v>
      </c>
      <c r="U81" s="46">
        <f>(SUM($AA$18:$AA$29)-SUM($AA$36,$AA$42,$AA$48,$AA$54,$AA$60,$AA$66,$AA$72:$AA$79))*Parameters!$B$37/12</f>
        <v>35501.39386531716</v>
      </c>
      <c r="V81" s="46">
        <f>(SUM($AA$18:$AA$29)-SUM($AA$36,$AA$42,$AA$48,$AA$54,$AA$60,$AA$66,$AA$72:$AA$79))*Parameters!$B$37/12</f>
        <v>35501.39386531716</v>
      </c>
      <c r="W81" s="46">
        <f>(SUM($AA$18:$AA$29)-SUM($AA$36,$AA$42,$AA$48,$AA$54,$AA$60,$AA$66,$AA$72:$AA$79))*Parameters!$B$37/12</f>
        <v>35501.39386531716</v>
      </c>
      <c r="X81" s="46">
        <f>(SUM($AA$18:$AA$29)-SUM($AA$36,$AA$42,$AA$48,$AA$54,$AA$60,$AA$66,$AA$72:$AA$79))*Parameters!$B$37/12</f>
        <v>35501.39386531716</v>
      </c>
      <c r="Y81" s="46">
        <f>(SUM($AA$18:$AA$29)-SUM($AA$36,$AA$42,$AA$48,$AA$54,$AA$60,$AA$66,$AA$72:$AA$79))*Parameters!$B$37/12</f>
        <v>35501.39386531716</v>
      </c>
      <c r="Z81" s="46">
        <f>SUMIF($B$13:$Y$13,"Yes",B81:Y81)</f>
        <v>497019.5141144403</v>
      </c>
      <c r="AA81" s="46">
        <f>SUM(B81:M81)</f>
        <v>426016.726383806</v>
      </c>
      <c r="AB81" s="46">
        <f>SUM(B81:Y81)</f>
        <v>852033.4527676115</v>
      </c>
    </row>
    <row r="82" spans="1:30">
      <c r="A82" s="16" t="s">
        <v>52</v>
      </c>
      <c r="B82" s="46">
        <f>SUM(B83:B87)</f>
        <v>8316.651230366142</v>
      </c>
      <c r="C82" s="46">
        <f>SUM(C83:C87)</f>
        <v>8316.651230366142</v>
      </c>
      <c r="D82" s="46">
        <f>SUM(D83:D87)</f>
        <v>8316.651230366142</v>
      </c>
      <c r="E82" s="46">
        <f>SUM(E83:E87)</f>
        <v>8316.651230366142</v>
      </c>
      <c r="F82" s="46">
        <f>SUM(F83:F87)</f>
        <v>8316.651230366142</v>
      </c>
      <c r="G82" s="46">
        <f>SUM(G83:G87)</f>
        <v>5784.377345015821</v>
      </c>
      <c r="H82" s="46">
        <f>SUM(H83:H87)</f>
        <v>576.4389161410885</v>
      </c>
      <c r="I82" s="46">
        <f>SUM(I83:I87)</f>
        <v>576.4389161410885</v>
      </c>
      <c r="J82" s="46">
        <f>SUM(J83:J87)</f>
        <v>576.4389161410885</v>
      </c>
      <c r="K82" s="46">
        <f>SUM(K83:K87)</f>
        <v>576.4389161410885</v>
      </c>
      <c r="L82" s="46">
        <f>SUM(L83:L87)</f>
        <v>576.4389161410885</v>
      </c>
      <c r="M82" s="46">
        <f>SUM(M83:M87)</f>
        <v>576.4389161410885</v>
      </c>
      <c r="N82" s="46">
        <f>SUM(N83:N87)</f>
        <v>576.4389161410885</v>
      </c>
      <c r="O82" s="46">
        <f>SUM(O83:O87)</f>
        <v>576.4389161410885</v>
      </c>
      <c r="P82" s="46">
        <f>SUM(P83:P87)</f>
        <v>576.4389161410885</v>
      </c>
      <c r="Q82" s="46">
        <f>SUM(Q83:Q87)</f>
        <v>576.4389161410885</v>
      </c>
      <c r="R82" s="46">
        <f>SUM(R83:R87)</f>
        <v>576.4389161410885</v>
      </c>
      <c r="S82" s="46">
        <f>SUM(S83:S87)</f>
        <v>576.4389161410885</v>
      </c>
      <c r="T82" s="46">
        <f>SUM(T83:T87)</f>
        <v>576.4389161410885</v>
      </c>
      <c r="U82" s="46">
        <f>SUM(U83:U87)</f>
        <v>576.4389161410885</v>
      </c>
      <c r="V82" s="46">
        <f>SUM(V83:V87)</f>
        <v>576.4389161410885</v>
      </c>
      <c r="W82" s="46">
        <f>SUM(W83:W87)</f>
        <v>576.4389161410885</v>
      </c>
      <c r="X82" s="46">
        <f>SUM(X83:X87)</f>
        <v>576.4389161410885</v>
      </c>
      <c r="Y82" s="46">
        <f>SUM(Y83:Y87)</f>
        <v>576.4389161410885</v>
      </c>
      <c r="Z82" s="46">
        <f>SUMIF($B$13:$Y$13,"Yes",B82:Y82)</f>
        <v>51979.14482597523</v>
      </c>
      <c r="AA82" s="46">
        <f>SUM(B82:M82)</f>
        <v>50826.26699369305</v>
      </c>
      <c r="AB82" s="46">
        <f>SUM(B82:Y82)</f>
        <v>57743.5339873861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7740.212314225053</v>
      </c>
      <c r="C83" s="46">
        <f>IF(Calculations!$E23&gt;COUNT(Output!$B$35:C$35),Calculations!$B23,IF(Calculations!$E23=COUNT(Output!$B$35:C$35),Inputs!$B56-Calculations!$C23*(Calculations!$E23-1)+Calculations!$D23,0))</f>
        <v>7740.212314225053</v>
      </c>
      <c r="D83" s="46">
        <f>IF(Calculations!$E23&gt;COUNT(Output!$B$35:D$35),Calculations!$B23,IF(Calculations!$E23=COUNT(Output!$B$35:D$35),Inputs!$B56-Calculations!$C23*(Calculations!$E23-1)+Calculations!$D23,0))</f>
        <v>7740.212314225053</v>
      </c>
      <c r="E83" s="46">
        <f>IF(Calculations!$E23&gt;COUNT(Output!$B$35:E$35),Calculations!$B23,IF(Calculations!$E23=COUNT(Output!$B$35:E$35),Inputs!$B56-Calculations!$C23*(Calculations!$E23-1)+Calculations!$D23,0))</f>
        <v>7740.212314225053</v>
      </c>
      <c r="F83" s="46">
        <f>IF(Calculations!$E23&gt;COUNT(Output!$B$35:F$35),Calculations!$B23,IF(Calculations!$E23=COUNT(Output!$B$35:F$35),Inputs!$B56-Calculations!$C23*(Calculations!$E23-1)+Calculations!$D23,0))</f>
        <v>7740.212314225053</v>
      </c>
      <c r="G83" s="46">
        <f>IF(Calculations!$E23&gt;COUNT(Output!$B$35:G$35),Calculations!$B23,IF(Calculations!$E23=COUNT(Output!$B$35:G$35),Inputs!$B56-Calculations!$C23*(Calculations!$E23-1)+Calculations!$D23,0))</f>
        <v>5207.938428874732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43908.99999999999</v>
      </c>
      <c r="AA83" s="46">
        <f>SUM(B83:M83)</f>
        <v>43908.99999999999</v>
      </c>
      <c r="AB83" s="46">
        <f>SUM(B83:Y83)</f>
        <v>43908.99999999999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576.4389161410885</v>
      </c>
      <c r="C84" s="46">
        <f>IF(Calculations!$E24&gt;COUNT(Output!$B$35:C$35),Calculations!$B24,IF(Calculations!$E24=COUNT(Output!$B$35:C$35),Inputs!$B57-Calculations!$C24*(Calculations!$E24-1)+Calculations!$D24,0))</f>
        <v>576.4389161410885</v>
      </c>
      <c r="D84" s="46">
        <f>IF(Calculations!$E24&gt;COUNT(Output!$B$35:D$35),Calculations!$B24,IF(Calculations!$E24=COUNT(Output!$B$35:D$35),Inputs!$B57-Calculations!$C24*(Calculations!$E24-1)+Calculations!$D24,0))</f>
        <v>576.4389161410885</v>
      </c>
      <c r="E84" s="46">
        <f>IF(Calculations!$E24&gt;COUNT(Output!$B$35:E$35),Calculations!$B24,IF(Calculations!$E24=COUNT(Output!$B$35:E$35),Inputs!$B57-Calculations!$C24*(Calculations!$E24-1)+Calculations!$D24,0))</f>
        <v>576.4389161410885</v>
      </c>
      <c r="F84" s="46">
        <f>IF(Calculations!$E24&gt;COUNT(Output!$B$35:F$35),Calculations!$B24,IF(Calculations!$E24=COUNT(Output!$B$35:F$35),Inputs!$B57-Calculations!$C24*(Calculations!$E24-1)+Calculations!$D24,0))</f>
        <v>576.4389161410885</v>
      </c>
      <c r="G84" s="46">
        <f>IF(Calculations!$E24&gt;COUNT(Output!$B$35:G$35),Calculations!$B24,IF(Calculations!$E24=COUNT(Output!$B$35:G$35),Inputs!$B57-Calculations!$C24*(Calculations!$E24-1)+Calculations!$D24,0))</f>
        <v>576.4389161410885</v>
      </c>
      <c r="H84" s="46">
        <f>IF(Calculations!$E24&gt;COUNT(Output!$B$35:H$35),Calculations!$B24,IF(Calculations!$E24=COUNT(Output!$B$35:H$35),Inputs!$B57-Calculations!$C24*(Calculations!$E24-1)+Calculations!$D24,0))</f>
        <v>576.4389161410885</v>
      </c>
      <c r="I84" s="46">
        <f>IF(Calculations!$E24&gt;COUNT(Output!$B$35:I$35),Calculations!$B24,IF(Calculations!$E24=COUNT(Output!$B$35:I$35),Inputs!$B57-Calculations!$C24*(Calculations!$E24-1)+Calculations!$D24,0))</f>
        <v>576.4389161410885</v>
      </c>
      <c r="J84" s="46">
        <f>IF(Calculations!$E24&gt;COUNT(Output!$B$35:J$35),Calculations!$B24,IF(Calculations!$E24=COUNT(Output!$B$35:J$35),Inputs!$B57-Calculations!$C24*(Calculations!$E24-1)+Calculations!$D24,0))</f>
        <v>576.4389161410885</v>
      </c>
      <c r="K84" s="46">
        <f>IF(Calculations!$E24&gt;COUNT(Output!$B$35:K$35),Calculations!$B24,IF(Calculations!$E24=COUNT(Output!$B$35:K$35),Inputs!$B57-Calculations!$C24*(Calculations!$E24-1)+Calculations!$D24,0))</f>
        <v>576.4389161410885</v>
      </c>
      <c r="L84" s="46">
        <f>IF(Calculations!$E24&gt;COUNT(Output!$B$35:L$35),Calculations!$B24,IF(Calculations!$E24=COUNT(Output!$B$35:L$35),Inputs!$B57-Calculations!$C24*(Calculations!$E24-1)+Calculations!$D24,0))</f>
        <v>576.4389161410885</v>
      </c>
      <c r="M84" s="46">
        <f>IF(Calculations!$E24&gt;COUNT(Output!$B$35:M$35),Calculations!$B24,IF(Calculations!$E24=COUNT(Output!$B$35:M$35),Inputs!$B57-Calculations!$C24*(Calculations!$E24-1)+Calculations!$D24,0))</f>
        <v>576.4389161410885</v>
      </c>
      <c r="N84" s="46">
        <f>IF(Calculations!$E24&gt;COUNT(Output!$B$35:N$35),Calculations!$B24,IF(Calculations!$E24=COUNT(Output!$B$35:N$35),Inputs!$B57-Calculations!$C24*(Calculations!$E24-1)+Calculations!$D24,0))</f>
        <v>576.4389161410885</v>
      </c>
      <c r="O84" s="46">
        <f>IF(Calculations!$E24&gt;COUNT(Output!$B$35:O$35),Calculations!$B24,IF(Calculations!$E24=COUNT(Output!$B$35:O$35),Inputs!$B57-Calculations!$C24*(Calculations!$E24-1)+Calculations!$D24,0))</f>
        <v>576.4389161410885</v>
      </c>
      <c r="P84" s="46">
        <f>IF(Calculations!$E24&gt;COUNT(Output!$B$35:P$35),Calculations!$B24,IF(Calculations!$E24=COUNT(Output!$B$35:P$35),Inputs!$B57-Calculations!$C24*(Calculations!$E24-1)+Calculations!$D24,0))</f>
        <v>576.4389161410885</v>
      </c>
      <c r="Q84" s="46">
        <f>IF(Calculations!$E24&gt;COUNT(Output!$B$35:Q$35),Calculations!$B24,IF(Calculations!$E24=COUNT(Output!$B$35:Q$35),Inputs!$B57-Calculations!$C24*(Calculations!$E24-1)+Calculations!$D24,0))</f>
        <v>576.4389161410885</v>
      </c>
      <c r="R84" s="46">
        <f>IF(Calculations!$E24&gt;COUNT(Output!$B$35:R$35),Calculations!$B24,IF(Calculations!$E24=COUNT(Output!$B$35:R$35),Inputs!$B57-Calculations!$C24*(Calculations!$E24-1)+Calculations!$D24,0))</f>
        <v>576.4389161410885</v>
      </c>
      <c r="S84" s="46">
        <f>IF(Calculations!$E24&gt;COUNT(Output!$B$35:S$35),Calculations!$B24,IF(Calculations!$E24=COUNT(Output!$B$35:S$35),Inputs!$B57-Calculations!$C24*(Calculations!$E24-1)+Calculations!$D24,0))</f>
        <v>576.4389161410885</v>
      </c>
      <c r="T84" s="46">
        <f>IF(Calculations!$E24&gt;COUNT(Output!$B$35:T$35),Calculations!$B24,IF(Calculations!$E24=COUNT(Output!$B$35:T$35),Inputs!$B57-Calculations!$C24*(Calculations!$E24-1)+Calculations!$D24,0))</f>
        <v>576.4389161410885</v>
      </c>
      <c r="U84" s="46">
        <f>IF(Calculations!$E24&gt;COUNT(Output!$B$35:U$35),Calculations!$B24,IF(Calculations!$E24=COUNT(Output!$B$35:U$35),Inputs!$B57-Calculations!$C24*(Calculations!$E24-1)+Calculations!$D24,0))</f>
        <v>576.4389161410885</v>
      </c>
      <c r="V84" s="46">
        <f>IF(Calculations!$E24&gt;COUNT(Output!$B$35:V$35),Calculations!$B24,IF(Calculations!$E24=COUNT(Output!$B$35:V$35),Inputs!$B57-Calculations!$C24*(Calculations!$E24-1)+Calculations!$D24,0))</f>
        <v>576.4389161410885</v>
      </c>
      <c r="W84" s="46">
        <f>IF(Calculations!$E24&gt;COUNT(Output!$B$35:W$35),Calculations!$B24,IF(Calculations!$E24=COUNT(Output!$B$35:W$35),Inputs!$B57-Calculations!$C24*(Calculations!$E24-1)+Calculations!$D24,0))</f>
        <v>576.4389161410885</v>
      </c>
      <c r="X84" s="46">
        <f>IF(Calculations!$E24&gt;COUNT(Output!$B$35:X$35),Calculations!$B24,IF(Calculations!$E24=COUNT(Output!$B$35:X$35),Inputs!$B57-Calculations!$C24*(Calculations!$E24-1)+Calculations!$D24,0))</f>
        <v>576.4389161410885</v>
      </c>
      <c r="Y84" s="46">
        <f>IF(Calculations!$E24&gt;COUNT(Output!$B$35:Y$35),Calculations!$B24,IF(Calculations!$E24=COUNT(Output!$B$35:Y$35),Inputs!$B57-Calculations!$C24*(Calculations!$E24-1)+Calculations!$D24,0))</f>
        <v>576.4389161410885</v>
      </c>
      <c r="Z84" s="46">
        <f>SUMIF($B$13:$Y$13,"Yes",B84:Y84)</f>
        <v>8070.144825975237</v>
      </c>
      <c r="AA84" s="46">
        <f>SUM(B84:M84)</f>
        <v>6917.266993693061</v>
      </c>
      <c r="AB84" s="46">
        <f>SUM(B84:Y84)</f>
        <v>13834.53398738613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47105.54509568331</v>
      </c>
      <c r="C88" s="19">
        <f>SUM(C72:C82,C66,C60,C54,C48,C42,C36)</f>
        <v>56678.60508976752</v>
      </c>
      <c r="D88" s="19">
        <f>SUM(D72:D82,D66,D60,D54,D48,D42,D36)</f>
        <v>49630.54509568331</v>
      </c>
      <c r="E88" s="19">
        <f>SUM(E72:E82,E66,E60,E54,E48,E42,E36)</f>
        <v>59833.54509568331</v>
      </c>
      <c r="F88" s="19">
        <f>SUM(F72:F82,F66,F60,F54,F48,F42,F36)</f>
        <v>50230.54509568331</v>
      </c>
      <c r="G88" s="19">
        <f>SUM(G72:G82,G66,G60,G54,G48,G42,G36)</f>
        <v>44873.27121033298</v>
      </c>
      <c r="H88" s="19">
        <f>SUM(H72:H82,H66,H60,H54,H48,H42,H36)</f>
        <v>39365.33278145825</v>
      </c>
      <c r="I88" s="19">
        <f>SUM(I72:I82,I66,I60,I54,I48,I42,I36)</f>
        <v>48938.39277554246</v>
      </c>
      <c r="J88" s="19">
        <f>SUM(J72:J82,J66,J60,J54,J48,J42,J36)</f>
        <v>41890.33278145825</v>
      </c>
      <c r="K88" s="19">
        <f>SUM(K72:K82,K66,K60,K54,K48,K42,K36)</f>
        <v>52093.33278145825</v>
      </c>
      <c r="L88" s="19">
        <f>SUM(L72:L82,L66,L60,L54,L48,L42,L36)</f>
        <v>42490.33278145825</v>
      </c>
      <c r="M88" s="19">
        <f>SUM(M72:M82,M66,M60,M54,M48,M42,M36)</f>
        <v>39665.33278145825</v>
      </c>
      <c r="N88" s="19">
        <f>SUM(N72:N82,N66,N60,N54,N48,N42,N36)</f>
        <v>39365.33278145825</v>
      </c>
      <c r="O88" s="19">
        <f>SUM(O72:O82,O66,O60,O54,O48,O42,O36)</f>
        <v>48938.39277554246</v>
      </c>
      <c r="P88" s="19">
        <f>SUM(P72:P82,P66,P60,P54,P48,P42,P36)</f>
        <v>41890.33278145825</v>
      </c>
      <c r="Q88" s="19">
        <f>SUM(Q72:Q82,Q66,Q60,Q54,Q48,Q42,Q36)</f>
        <v>52093.33278145825</v>
      </c>
      <c r="R88" s="19">
        <f>SUM(R72:R82,R66,R60,R54,R48,R42,R36)</f>
        <v>42490.33278145825</v>
      </c>
      <c r="S88" s="19">
        <f>SUM(S72:S82,S66,S60,S54,S48,S42,S36)</f>
        <v>39665.33278145825</v>
      </c>
      <c r="T88" s="19">
        <f>SUM(T72:T82,T66,T60,T54,T48,T42,T36)</f>
        <v>39365.33278145825</v>
      </c>
      <c r="U88" s="19">
        <f>SUM(U72:U82,U66,U60,U54,U48,U42,U36)</f>
        <v>48938.39277554246</v>
      </c>
      <c r="V88" s="19">
        <f>SUM(V72:V82,V66,V60,V54,V48,V42,V36)</f>
        <v>41890.33278145825</v>
      </c>
      <c r="W88" s="19">
        <f>SUM(W72:W82,W66,W60,W54,W48,W42,W36)</f>
        <v>52093.33278145825</v>
      </c>
      <c r="X88" s="19">
        <f>SUM(X72:X82,X66,X60,X54,X48,X42,X36)</f>
        <v>42490.33278145825</v>
      </c>
      <c r="Y88" s="19">
        <f>SUM(Y72:Y82,Y66,Y60,Y54,Y48,Y42,Y36)</f>
        <v>39665.33278145825</v>
      </c>
      <c r="Z88" s="19">
        <f>SUMIF($B$13:$Y$13,"Yes",B88:Y88)</f>
        <v>661098.8389226682</v>
      </c>
      <c r="AA88" s="19">
        <f>SUM(B88:M88)</f>
        <v>572795.1133656675</v>
      </c>
      <c r="AB88" s="19">
        <f>SUM(B88:Y88)</f>
        <v>1101681.226731335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1575000</v>
      </c>
    </row>
    <row r="98" spans="1:30">
      <c r="A98" t="s">
        <v>64</v>
      </c>
      <c r="B98" s="36">
        <f>IF(Inputs!B44="Yes",Inputs!B45,0)</f>
        <v>12500000</v>
      </c>
    </row>
    <row r="99" spans="1:30">
      <c r="A99" t="s">
        <v>65</v>
      </c>
      <c r="B99" s="36">
        <f>Inputs!B46</f>
        <v>70000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14818000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53842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153842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15000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12500000</v>
      </c>
    </row>
    <row r="46" spans="1:48" customHeight="1" ht="30">
      <c r="A46" s="57" t="s">
        <v>133</v>
      </c>
      <c r="B46" s="161">
        <v>70000</v>
      </c>
    </row>
    <row r="47" spans="1:48" customHeight="1" ht="30">
      <c r="A47" s="57" t="s">
        <v>134</v>
      </c>
      <c r="B47" s="161">
        <v>250000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23000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70000</v>
      </c>
      <c r="B56" s="159">
        <v>36209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50000</v>
      </c>
      <c r="B57" s="157">
        <v>17633</v>
      </c>
      <c r="C57" s="164" t="s">
        <v>148</v>
      </c>
      <c r="D57" s="165" t="s">
        <v>149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151</v>
      </c>
      <c r="C65" s="10" t="s">
        <v>152</v>
      </c>
    </row>
    <row r="66" spans="1:48">
      <c r="A66" s="142" t="s">
        <v>153</v>
      </c>
      <c r="B66" s="159">
        <v>73400</v>
      </c>
      <c r="C66" s="163">
        <v>51500</v>
      </c>
      <c r="D66" s="49">
        <f>INDEX(Parameters!$D$79:$D$90,MATCH(Inputs!A66,Parameters!$C$79:$C$90,0))</f>
        <v>7</v>
      </c>
    </row>
    <row r="67" spans="1:48">
      <c r="A67" s="143" t="s">
        <v>154</v>
      </c>
      <c r="B67" s="157">
        <v>85630</v>
      </c>
      <c r="C67" s="165">
        <v>64887</v>
      </c>
      <c r="D67" s="49">
        <f>INDEX(Parameters!$D$79:$D$90,MATCH(Inputs!A67,Parameters!$C$79:$C$90,0))</f>
        <v>6</v>
      </c>
    </row>
    <row r="68" spans="1:48">
      <c r="A68" s="143" t="s">
        <v>155</v>
      </c>
      <c r="B68" s="157">
        <v>53230</v>
      </c>
      <c r="C68" s="165">
        <v>40160</v>
      </c>
      <c r="D68" s="49">
        <f>INDEX(Parameters!$D$79:$D$90,MATCH(Inputs!A68,Parameters!$C$79:$C$90,0))</f>
        <v>5</v>
      </c>
    </row>
    <row r="69" spans="1:48">
      <c r="A69" s="143" t="s">
        <v>156</v>
      </c>
      <c r="B69" s="157">
        <v>66450</v>
      </c>
      <c r="C69" s="165">
        <v>43170</v>
      </c>
      <c r="D69" s="49">
        <f>INDEX(Parameters!$D$79:$D$90,MATCH(Inputs!A69,Parameters!$C$79:$C$90,0))</f>
        <v>4</v>
      </c>
    </row>
    <row r="70" spans="1:48">
      <c r="A70" s="143" t="s">
        <v>157</v>
      </c>
      <c r="B70" s="157">
        <v>83700</v>
      </c>
      <c r="C70" s="165">
        <v>63178</v>
      </c>
      <c r="D70" s="49">
        <f>INDEX(Parameters!$D$79:$D$90,MATCH(Inputs!A70,Parameters!$C$79:$C$90,0))</f>
        <v>3</v>
      </c>
    </row>
    <row r="71" spans="1:48">
      <c r="A71" s="144" t="s">
        <v>158</v>
      </c>
      <c r="B71" s="158">
        <v>94780</v>
      </c>
      <c r="C71" s="167">
        <v>73155</v>
      </c>
      <c r="D71" s="49">
        <f>INDEX(Parameters!$D$79:$D$90,MATCH(Inputs!A71,Parameters!$C$79:$C$90,0))</f>
        <v>2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37889.73370779132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1092.059994084211</v>
      </c>
      <c r="AB4" s="33">
        <f>H4*IFERROR(INDEX(Parameters!$A$3:$AI$17,MATCH(Calculations!A4,Parameters!$A$3:$A$17,0),MATCH(Parameters!$O$3,Parameters!$A$3:$AI$3,0)),AVERAGE(Parameters!$O$4:$O$17))*(1-Inputs!$B$25/100)</f>
        <v>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43040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43221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336234.2324206122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43009</v>
      </c>
      <c r="D6" s="39">
        <f>IFERROR(DATE(YEAR(B6),MONTH(B6)+T6,DAY(B6)),"")</f>
        <v>43040</v>
      </c>
      <c r="E6" s="39">
        <f>IFERROR(IF($S6=0,"",IF($S6=2,DATE(YEAR(B6),MONTH(B6)+6,DAY(B6)),IF($S6=1,B6,""))),"")</f>
        <v>43132</v>
      </c>
      <c r="F6" s="39">
        <f>IFERROR(IF($S6=0,"",IF($S6=2,DATE(YEAR(C6),MONTH(C6)+6,DAY(C6)),IF($S6=1,C6,""))),"")</f>
        <v>43191</v>
      </c>
      <c r="G6" s="39">
        <f>IFERROR(IF($S6=0,"",IF($S6=2,DATE(YEAR(D6),MONTH(D6)+6,DAY(D6)),IF($S6=1,D6,""))),"")</f>
        <v>43221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9022.633424063135</v>
      </c>
      <c r="M6" s="30">
        <f>L6*H6</f>
        <v>9022.633424063135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240002.0490800794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606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2800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7500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70000</v>
      </c>
      <c r="B23" s="75">
        <f>SUM(C23:D23)</f>
        <v>7740.212314225053</v>
      </c>
      <c r="C23" s="75">
        <f>IF(Inputs!B56&gt;0,(Inputs!A56-Inputs!B56)/(DATE(YEAR(Inputs!$B$76),MONTH(Inputs!$B$76),DAY(Inputs!$B$76))-DATE(YEAR(Inputs!C56),MONTH(Inputs!C56),DAY(Inputs!C56)))*30,0)</f>
        <v>6456.87898089172</v>
      </c>
      <c r="D23" s="75">
        <f>IF(Inputs!B56&gt;0,Inputs!A56*0.22/12,0)</f>
        <v>1283.333333333333</v>
      </c>
      <c r="E23" s="75">
        <f>IFERROR(ROUNDUP(Inputs!B56/C23,0),0)</f>
        <v>6</v>
      </c>
    </row>
    <row r="24" spans="1:52">
      <c r="A24" s="46">
        <f>Inputs!A57</f>
        <v>50000</v>
      </c>
      <c r="B24" s="46">
        <f>SUM(C24:D24)</f>
        <v>576.4389161410885</v>
      </c>
      <c r="C24" s="46">
        <f>IF(Inputs!B57&gt;0,(Inputs!A57-Inputs!B57)/(DATE(YEAR(Inputs!$B$76),MONTH(Inputs!$B$76),DAY(Inputs!$B$76))-DATE(YEAR(Inputs!C57),MONTH(Inputs!C57),DAY(Inputs!C57)))*30,0)</f>
        <v>-340.2277505255781</v>
      </c>
      <c r="D24" s="46">
        <f>IF(Inputs!B57&gt;0,Inputs!A57*0.22/12,0)</f>
        <v>916.6666666666666</v>
      </c>
      <c r="E24" s="46">
        <f>IFERROR(ROUNDUP(Inputs!B57/B24,0),0)</f>
        <v>31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42982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42979</v>
      </c>
      <c r="F33" t="s">
        <v>164</v>
      </c>
      <c r="G33" s="128">
        <f>IF(Inputs!B79="","",DATE(YEAR(Inputs!B79),MONTH(Inputs!B79),DAY(Inputs!B79)))</f>
        <v>42944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43009</v>
      </c>
      <c r="F34" t="s">
        <v>166</v>
      </c>
      <c r="G34" s="128">
        <f>IF(Inputs!B80="","",DATE(YEAR(Inputs!B80),MONTH(Inputs!B80),DAY(Inputs!B80)))</f>
        <v>42982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43040</v>
      </c>
      <c r="F35" t="s">
        <v>168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43070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43101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43132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43160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43191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43221</v>
      </c>
      <c r="F41" t="s">
        <v>232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43252</v>
      </c>
      <c r="F42" t="s">
        <v>233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206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316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130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316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316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316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316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316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316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316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316</v>
      </c>
      <c r="F77" s="12" t="s">
        <v>316</v>
      </c>
      <c r="G77" s="12" t="s">
        <v>354</v>
      </c>
      <c r="H77" s="12" t="s">
        <v>130</v>
      </c>
      <c r="I77" s="12" t="s">
        <v>355</v>
      </c>
      <c r="J77" s="136" t="s">
        <v>356</v>
      </c>
      <c r="K77" s="12" t="s">
        <v>316</v>
      </c>
      <c r="AJ77" s="12"/>
    </row>
    <row r="78" spans="1:36">
      <c r="A78" t="s">
        <v>316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112</v>
      </c>
      <c r="H78" s="12" t="s">
        <v>319</v>
      </c>
      <c r="I78" s="12" t="s">
        <v>360</v>
      </c>
      <c r="J78" s="70" t="s">
        <v>361</v>
      </c>
      <c r="K78" s="12" t="s">
        <v>316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171</v>
      </c>
      <c r="J79" s="70" t="s">
        <v>366</v>
      </c>
      <c r="K79" s="12" t="s">
        <v>316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157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