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<sst xmlns="http://schemas.openxmlformats.org/spreadsheetml/2006/main" uniqueCount="370">
  <si>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</si>
  <si>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</si>
  <si>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</si>
  <si>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</si>
  <si>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</si>
  <si>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</si>
  <si>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</si>
  <si>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</si>
  <si>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</si>
  <si>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</si>
  <si>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</si>
  <si>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</si>
  <si>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</si>
  <si>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</si>
  <si>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</si>
  <si>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</si>
  <si>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</si>
  <si>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</si>
  <si>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</si>
  <si>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</si>
  <si>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</si>
  <si>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</si>
  <si>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</si>
  <si>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</si>
  <si>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</si>
  <si>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</si>
  <si>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</si>
  <si>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</si>
  <si>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</si>
  <si>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</si>
  <si>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</si>
  <si>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</si>
  <si>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</si>
  <si>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</si>
  <si>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</si>
  <si>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</si>
  <si>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</si>
  <si>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</si>
  <si>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</si>
  <si>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</si>
  <si>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</si>
  <si>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</si>
  <si>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</si>
  <si>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</si>
  <si>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</si>
  <si>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</si>
  <si>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</si>
  <si>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</si>
  <si>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</si>
  <si>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</si>
  <si>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</si>
  <si>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</si>
  <si>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</si>
  <si>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</si>
  <si>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</si>
  <si>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</si>
  <si>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</si>
  <si>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</si>
  <si>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</si>
  <si>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</si>
  <si>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</si>
  <si>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</si>
  <si>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</si>
  <si>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</si>
  <si>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</si>
  <si>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</si>
  <si>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</si>
  <si>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</si>
  <si>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</si>
  <si>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</si>
  <si>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</si>
  <si>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</si>
  <si>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</si>
  <si>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</si>
  <si>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</si>
  <si>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</si>
  <si>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</si>
  <si>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</si>
  <si>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</si>
  <si>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</si>
  <si>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</si>
  <si>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</si>
  <si>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</si>
  <si>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</si>
  <si>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</si>
  <si>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</si>
  <si>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</si>
  <si>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</si>
  <si>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</si>
  <si>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</si>
  <si>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Shop_common variety</t>
  </si>
  <si>
    <t>Yes only manure</t>
  </si>
  <si>
    <t>Yes</t>
  </si>
  <si>
    <t>Yes using a solar pump</t>
  </si>
  <si>
    <t>August</t>
  </si>
  <si>
    <t>Other crops</t>
  </si>
  <si>
    <t>Shop_certified variety</t>
  </si>
  <si>
    <t>Yes Inorganic fertizers</t>
  </si>
  <si>
    <t>Yes without the use of a pump</t>
  </si>
  <si>
    <t>July</t>
  </si>
  <si>
    <t>Beans</t>
  </si>
  <si>
    <t>Home recycled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</si>
  <si>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</si>
  <si>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</si>
  <si>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</si>
  <si>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</si>
  <si>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</si>
  <si>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</si>
  <si>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</si>
  <si>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</si>
  <si>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</si>
  <si>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</si>
  <si>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</si>
  <si>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</si>
  <si>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</si>
  <si>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</si>
  <si>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</si>
  <si>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</si>
  <si>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</si>
  <si>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</si>
  <si>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</si>
  <si>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</si>
  <si>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</si>
  <si>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</si>
  <si>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</si>
  <si>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</si>
  <si>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</si>
  <si>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</si>
  <si>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</si>
  <si>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</si>
  <si>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</si>
  <si>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</si>
  <si>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</si>
  <si>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</si>
  <si>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</si>
  <si>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</si>
  <si>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</si>
  <si>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</si>
  <si>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</si>
  <si>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</si>
  <si>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</si>
  <si>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</si>
  <si>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</si>
  <si>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</si>
  <si>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</si>
  <si>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</si>
  <si>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</si>
  <si>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</si>
  <si>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</si>
  <si>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</si>
  <si>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</si>
  <si>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</si>
  <si>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</si>
  <si>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2/1/2017</t>
  </si>
  <si>
    <t>Equity</t>
  </si>
  <si>
    <t>its well serviced</t>
  </si>
  <si>
    <t>Mpesa &amp; bank cash flows (from past statements)</t>
  </si>
  <si>
    <t>Cash inflows</t>
  </si>
  <si>
    <t>Cash outflows</t>
  </si>
  <si>
    <t>February</t>
  </si>
  <si>
    <t>April</t>
  </si>
  <si>
    <t>May</t>
  </si>
  <si>
    <t>June</t>
  </si>
  <si>
    <t>Loan info</t>
  </si>
  <si>
    <t>Branch ID</t>
  </si>
  <si>
    <t>Submission date</t>
  </si>
  <si>
    <t>2017/7/24</t>
  </si>
  <si>
    <t>Loan terms</t>
  </si>
  <si>
    <t>Expected disbursement date</t>
  </si>
  <si>
    <t>2017/7/27</t>
  </si>
  <si>
    <t>Expected first repayment date</t>
  </si>
  <si>
    <t>2017/9/8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</si>
  <si>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</si>
  <si>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</si>
  <si>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</si>
  <si>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</si>
  <si>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</si>
  <si>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</si>
  <si>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</si>
  <si>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</si>
  <si>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</si>
  <si>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</si>
  <si>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</si>
  <si>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</si>
  <si>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</si>
  <si>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</si>
  <si>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</si>
  <si>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</si>
  <si>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</si>
  <si>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</si>
  <si>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</si>
  <si>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</si>
  <si>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</si>
  <si>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</si>
  <si>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</si>
  <si>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</si>
  <si>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</si>
  <si>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</si>
  <si>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</si>
  <si>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</si>
  <si>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</si>
  <si>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</si>
  <si>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</si>
  <si>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</si>
  <si>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</si>
  <si>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</si>
  <si>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</si>
  <si>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</si>
  <si>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</si>
  <si>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</si>
  <si>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</si>
  <si>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</si>
  <si>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</si>
  <si>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</si>
  <si>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</si>
  <si>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</si>
  <si>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</si>
  <si>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</si>
  <si>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</si>
  <si>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</si>
  <si>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</si>
  <si>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</si>
  <si>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</si>
  <si>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</si>
  <si>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</si>
  <si>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</si>
  <si>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</si>
  <si>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</si>
  <si>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</si>
  <si>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</si>
  <si>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</si>
  <si>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</si>
  <si>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</si>
  <si>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</si>
  <si>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</si>
  <si>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</si>
  <si>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</si>
  <si>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</si>
  <si>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</si>
  <si>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</si>
  <si>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</si>
  <si>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</si>
  <si>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</si>
  <si>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</si>
  <si>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</si>
  <si>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</si>
  <si>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</si>
  <si>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</si>
  <si>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</si>
  <si>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</si>
  <si>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</si>
  <si>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</si>
  <si>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</si>
  <si>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</si>
  <si>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</si>
  <si>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</si>
  <si>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</si>
  <si>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</si>
  <si>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</si>
  <si>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</si>
  <si>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</si>
  <si>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</si>
  <si>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</si>
  <si>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</si>
  <si>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</si>
  <si>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</si>
  <si>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</si>
  <si>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</si>
  <si>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</si>
  <si>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</si>
  <si>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</si>
  <si>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</si>
  <si>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</si>
  <si>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</si>
  <si>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</si>
  <si>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</si>
  <si>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</si>
  <si>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</si>
  <si>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</si>
  <si>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</si>
  <si>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</si>
  <si>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</si>
  <si>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</si>
  <si>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</si>
  <si>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</si>
  <si>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</si>
  <si>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</si>
  <si>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</si>
  <si>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</si>
  <si>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</si>
  <si>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</si>
  <si>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</si>
  <si>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</si>
  <si>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</si>
  <si>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</si>
  <si>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</si>
  <si>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</si>
  <si>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</si>
  <si>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</si>
  <si>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</si>
  <si>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</si>
  <si>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</si>
  <si>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</si>
  <si>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</si>
  <si>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</si>
  <si>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</si>
  <si>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</si>
  <si>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</si>
  <si>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</si>
  <si>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</si>
  <si>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</si>
  <si>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</si>
  <si>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</si>
  <si>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</si>
  <si>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</si>
  <si>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</si>
  <si>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</si>
  <si>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</si>
  <si>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</si>
  <si>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</si>
  <si>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</si>
  <si>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</si>
  <si>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</si>
  <si>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</si>
  <si>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</si>
  <si>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</si>
  <si>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</si>
  <si>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</si>
  <si>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</si>
  <si>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</si>
  <si>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</si>
  <si>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</si>
  <si>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</si>
  <si>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</si>
  <si>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</si>
  <si>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</si>
  <si>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</si>
  <si>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</si>
  <si>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</si>
  <si>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</si>
  <si>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</si>
  <si>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</si>
  <si>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</si>
  <si>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</si>
  <si>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</si>
  <si>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</si>
  <si>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</si>
  <si>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</si>
  <si>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</si>
  <si>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</si>
  <si>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</si>
  <si>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</si>
  <si>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</si>
  <si>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</si>
  <si>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</si>
  <si>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</si>
  <si>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</si>
  <si>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</si>
  <si>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</si>
  <si>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</si>
  <si>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</si>
  <si>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</si>
  <si>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January</t>
  </si>
  <si>
    <t>Yes inorganic fertilizers</t>
  </si>
  <si>
    <t>Yes both manure and inorganic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</si>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</sst>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Pigs, Chicken: sale of ex layers</v>
      </c>
    </row>
    <row r="8" spans="1:7">
      <c r="B8" s="1" t="s">
        <v>4</v>
      </c>
      <c r="C8" t="str">
        <f>IF(Inputs!B29="","None",Inputs!B29)</f>
        <v>Land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0.1041123921762286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0.004854145796298178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1786353.181866972</v>
      </c>
    </row>
    <row r="18" spans="1:7">
      <c r="B18" s="1" t="s">
        <v>12</v>
      </c>
      <c r="C18" s="36">
        <f>MIN(Output!B6:M6)</f>
        <v>120597.7693657432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163224.5952485032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230000</v>
      </c>
    </row>
    <row r="25" spans="1:7">
      <c r="B25" s="1" t="s">
        <v>18</v>
      </c>
      <c r="C25" s="36">
        <f>MAX(Inputs!A56:A60)</f>
        <v>230000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133254.8242574872</v>
      </c>
      <c r="C6" s="51">
        <f>C30-C88</f>
        <v>132856.105921738</v>
      </c>
      <c r="D6" s="51">
        <f>D30-D88</f>
        <v>120597.7693657432</v>
      </c>
      <c r="E6" s="51">
        <f>E30-E88</f>
        <v>142840.7234501424</v>
      </c>
      <c r="F6" s="51">
        <f>F30-F88</f>
        <v>151949.5855805186</v>
      </c>
      <c r="G6" s="51">
        <f>G30-G88</f>
        <v>161191.2490245237</v>
      </c>
      <c r="H6" s="51">
        <f>H30-H88</f>
        <v>159623.3135842524</v>
      </c>
      <c r="I6" s="51">
        <f>I30-I88</f>
        <v>163224.5952485032</v>
      </c>
      <c r="J6" s="51">
        <f>J30-J88</f>
        <v>146966.2586925083</v>
      </c>
      <c r="K6" s="51">
        <f>K30-K88</f>
        <v>160707.9221365135</v>
      </c>
      <c r="L6" s="51">
        <f>L30-L88</f>
        <v>151949.5855805186</v>
      </c>
      <c r="M6" s="51">
        <f>M30-M88</f>
        <v>161191.2490245237</v>
      </c>
      <c r="N6" s="51">
        <f>N30-N88</f>
        <v>159623.3135842524</v>
      </c>
      <c r="O6" s="51">
        <f>O30-O88</f>
        <v>159224.5952485032</v>
      </c>
      <c r="P6" s="51">
        <f>P30-P88</f>
        <v>146966.2586925083</v>
      </c>
      <c r="Q6" s="51">
        <f>Q30-Q88</f>
        <v>176957.9221365135</v>
      </c>
      <c r="R6" s="51">
        <f>R30-R88</f>
        <v>151949.5855805186</v>
      </c>
      <c r="S6" s="51">
        <f>S30-S88</f>
        <v>161191.2490245237</v>
      </c>
      <c r="T6" s="51">
        <f>T30-T88</f>
        <v>159623.3135842524</v>
      </c>
      <c r="U6" s="51">
        <f>U30-U88</f>
        <v>163224.5952485032</v>
      </c>
      <c r="V6" s="51">
        <f>V30-V88</f>
        <v>146966.2586925083</v>
      </c>
      <c r="W6" s="51">
        <f>W30-W88</f>
        <v>160707.9221365135</v>
      </c>
      <c r="X6" s="51">
        <f>X30-X88</f>
        <v>151949.5855805186</v>
      </c>
      <c r="Y6" s="51">
        <f>Y30-Y88</f>
        <v>161191.2490245237</v>
      </c>
      <c r="Z6" s="51">
        <f>SUMIF($B$13:$Y$13,"Yes",B6:Y6)</f>
        <v>2105201.090699728</v>
      </c>
      <c r="AA6" s="51">
        <f>AA30-AA88</f>
        <v>1786353.181866974</v>
      </c>
      <c r="AB6" s="51">
        <f>AB30-AB88</f>
        <v>3685929.030400614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221226</v>
      </c>
      <c r="J7" s="80">
        <f>IF(ISERROR(VLOOKUP(MONTH(J5),Inputs!$D$66:$D$71,1,0)),"",INDEX(Inputs!$B$66:$B$71,MATCH(MONTH(Output!J5),Inputs!$D$66:$D$71,0))-INDEX(Inputs!$C$66:$C$71,MATCH(MONTH(Output!J5),Inputs!$D$66:$D$71,0)))</f>
        <v>463257</v>
      </c>
      <c r="K7" s="80">
        <f>IF(ISERROR(VLOOKUP(MONTH(K5),Inputs!$D$66:$D$71,1,0)),"",INDEX(Inputs!$B$66:$B$71,MATCH(MONTH(Output!K5),Inputs!$D$66:$D$71,0))-INDEX(Inputs!$C$66:$C$71,MATCH(MONTH(Output!K5),Inputs!$D$66:$D$71,0)))</f>
        <v>508884</v>
      </c>
      <c r="L7" s="80">
        <f>IF(ISERROR(VLOOKUP(MONTH(L5),Inputs!$D$66:$D$71,1,0)),"",INDEX(Inputs!$B$66:$B$71,MATCH(MONTH(Output!L5),Inputs!$D$66:$D$71,0))-INDEX(Inputs!$C$66:$C$71,MATCH(MONTH(Output!L5),Inputs!$D$66:$D$71,0)))</f>
        <v>17205</v>
      </c>
      <c r="M7" s="80">
        <f>IF(ISERROR(VLOOKUP(MONTH(M5),Inputs!$D$66:$D$71,1,0)),"",INDEX(Inputs!$B$66:$B$71,MATCH(MONTH(Output!M5),Inputs!$D$66:$D$71,0))-INDEX(Inputs!$C$66:$C$71,MATCH(MONTH(Output!M5),Inputs!$D$66:$D$71,0)))</f>
        <v>286572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221226</v>
      </c>
      <c r="V7" s="80">
        <f>IF(ISERROR(VLOOKUP(MONTH(V5),Inputs!$D$66:$D$71,1,0)),"",INDEX(Inputs!$B$66:$B$71,MATCH(MONTH(Output!V5),Inputs!$D$66:$D$71,0))-INDEX(Inputs!$C$66:$C$71,MATCH(MONTH(Output!V5),Inputs!$D$66:$D$71,0)))</f>
        <v>463257</v>
      </c>
      <c r="W7" s="80">
        <f>IF(ISERROR(VLOOKUP(MONTH(W5),Inputs!$D$66:$D$71,1,0)),"",INDEX(Inputs!$B$66:$B$71,MATCH(MONTH(Output!W5),Inputs!$D$66:$D$71,0))-INDEX(Inputs!$C$66:$C$71,MATCH(MONTH(Output!W5),Inputs!$D$66:$D$71,0)))</f>
        <v>508884</v>
      </c>
      <c r="X7" s="80">
        <f>IF(ISERROR(VLOOKUP(MONTH(X5),Inputs!$D$66:$D$71,1,0)),"",INDEX(Inputs!$B$66:$B$71,MATCH(MONTH(Output!X5),Inputs!$D$66:$D$71,0))-INDEX(Inputs!$C$66:$C$71,MATCH(MONTH(Output!X5),Inputs!$D$66:$D$71,0)))</f>
        <v>17205</v>
      </c>
      <c r="Y7" s="80">
        <f>IF(ISERROR(VLOOKUP(MONTH(Y5),Inputs!$D$66:$D$71,1,0)),"",INDEX(Inputs!$B$66:$B$71,MATCH(MONTH(Output!Y5),Inputs!$D$66:$D$71,0))-INDEX(Inputs!$C$66:$C$71,MATCH(MONTH(Output!Y5),Inputs!$D$66:$D$71,0)))</f>
        <v>286572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333254.8242574872</v>
      </c>
      <c r="C11" s="80">
        <f>C6+C9-C10</f>
        <v>132856.105921738</v>
      </c>
      <c r="D11" s="80">
        <f>D6+D9-D10</f>
        <v>100597.7693657432</v>
      </c>
      <c r="E11" s="80">
        <f>E6+E9-E10</f>
        <v>122840.7234501424</v>
      </c>
      <c r="F11" s="80">
        <f>F6+F9-F10</f>
        <v>131949.5855805186</v>
      </c>
      <c r="G11" s="80">
        <f>G6+G9-G10</f>
        <v>141191.2490245237</v>
      </c>
      <c r="H11" s="80">
        <f>H6+H9-H10</f>
        <v>139623.3135842524</v>
      </c>
      <c r="I11" s="80">
        <f>I6+I9-I10</f>
        <v>143224.5952485032</v>
      </c>
      <c r="J11" s="80">
        <f>J6+J9-J10</f>
        <v>126966.2586925083</v>
      </c>
      <c r="K11" s="80">
        <f>K6+K9-K10</f>
        <v>140707.9221365135</v>
      </c>
      <c r="L11" s="80">
        <f>L6+L9-L10</f>
        <v>131949.5855805186</v>
      </c>
      <c r="M11" s="80">
        <f>M6+M9-M10</f>
        <v>141191.2490245237</v>
      </c>
      <c r="N11" s="80">
        <f>N6+N9-N10</f>
        <v>139623.3135842524</v>
      </c>
      <c r="O11" s="80">
        <f>O6+O9-O10</f>
        <v>139224.5952485032</v>
      </c>
      <c r="P11" s="80">
        <f>P6+P9-P10</f>
        <v>146966.2586925083</v>
      </c>
      <c r="Q11" s="80">
        <f>Q6+Q9-Q10</f>
        <v>176957.9221365135</v>
      </c>
      <c r="R11" s="80">
        <f>R6+R9-R10</f>
        <v>151949.5855805186</v>
      </c>
      <c r="S11" s="80">
        <f>S6+S9-S10</f>
        <v>161191.2490245237</v>
      </c>
      <c r="T11" s="80">
        <f>T6+T9-T10</f>
        <v>159623.3135842524</v>
      </c>
      <c r="U11" s="80">
        <f>U6+U9-U10</f>
        <v>163224.5952485032</v>
      </c>
      <c r="V11" s="80">
        <f>V6+V9-V10</f>
        <v>146966.2586925083</v>
      </c>
      <c r="W11" s="80">
        <f>W6+W9-W10</f>
        <v>160707.9221365135</v>
      </c>
      <c r="X11" s="80">
        <f>X6+X9-X10</f>
        <v>151949.5855805186</v>
      </c>
      <c r="Y11" s="80">
        <f>Y6+Y9-Y10</f>
        <v>161191.2490245237</v>
      </c>
      <c r="Z11" s="85">
        <f>SUMIF($B$13:$Y$13,"Yes",B11:Y11)</f>
        <v>2065201.090699728</v>
      </c>
      <c r="AA11" s="80">
        <f>SUM(B11:M11)</f>
        <v>1786353.181866972</v>
      </c>
      <c r="AB11" s="46">
        <f>SUM(B11:Y11)</f>
        <v>3645929.030400611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0.03408846675617957</v>
      </c>
      <c r="E12" s="82">
        <f>IF(E13="Yes",IF(SUM($B$10:E10)/(SUM($B$6:E6)+SUM($B$9:E9))&lt;0,999.99,SUM($B$10:E10)/(SUM($B$6:E6)+SUM($B$9:E9))),"")</f>
        <v>0.05482836219071079</v>
      </c>
      <c r="F12" s="82">
        <f>IF(F13="Yes",IF(SUM($B$10:F10)/(SUM($B$6:F6)+SUM($B$9:F9))&lt;0,999.99,SUM($B$10:F10)/(SUM($B$6:F6)+SUM($B$9:F9))),"")</f>
        <v>0.06806587349082903</v>
      </c>
      <c r="G12" s="82">
        <f>IF(G13="Yes",IF(SUM($B$10:G10)/(SUM($B$6:G6)+SUM($B$9:G9))&lt;0,999.99,SUM($B$10:G10)/(SUM($B$6:G6)+SUM($B$9:G9))),"")</f>
        <v>0.07672460677260697</v>
      </c>
      <c r="H12" s="82">
        <f>IF(H13="Yes",IF(SUM($B$10:H10)/(SUM($B$6:H6)+SUM($B$9:H9))&lt;0,999.99,SUM($B$10:H10)/(SUM($B$6:H6)+SUM($B$9:H9))),"")</f>
        <v>0.08317297782931077</v>
      </c>
      <c r="I12" s="82">
        <f>IF(I13="Yes",IF(SUM($B$10:I10)/(SUM($B$6:I6)+SUM($B$9:I9))&lt;0,999.99,SUM($B$10:I10)/(SUM($B$6:I6)+SUM($B$9:I9))),"")</f>
        <v>0.08787744125341211</v>
      </c>
      <c r="J12" s="82">
        <f>IF(J13="Yes",IF(SUM($B$10:J10)/(SUM($B$6:J6)+SUM($B$9:J9))&lt;0,999.99,SUM($B$10:J10)/(SUM($B$6:J6)+SUM($B$9:J9))),"")</f>
        <v>0.09256171266301665</v>
      </c>
      <c r="K12" s="82">
        <f>IF(K13="Yes",IF(SUM($B$10:K10)/(SUM($B$6:K6)+SUM($B$9:K9))&lt;0,999.99,SUM($B$10:K10)/(SUM($B$6:K6)+SUM($B$9:K9))),"")</f>
        <v>0.0956244437604267</v>
      </c>
      <c r="L12" s="82">
        <f>IF(L13="Yes",IF(SUM($B$10:L10)/(SUM($B$6:L6)+SUM($B$9:L9))&lt;0,999.99,SUM($B$10:L10)/(SUM($B$6:L6)+SUM($B$9:L9))),"")</f>
        <v>0.09862138627868146</v>
      </c>
      <c r="M12" s="82">
        <f>IF(M13="Yes",IF(SUM($B$10:M10)/(SUM($B$6:M6)+SUM($B$9:M9))&lt;0,999.99,SUM($B$10:M10)/(SUM($B$6:M6)+SUM($B$9:M9))),"")</f>
        <v>0.1006870287850925</v>
      </c>
      <c r="N12" s="82">
        <f>IF(N13="Yes",IF(SUM($B$10:N10)/(SUM($B$6:N6)+SUM($B$9:N9))&lt;0,999.99,SUM($B$10:N10)/(SUM($B$6:N6)+SUM($B$9:N9))),"")</f>
        <v>0.1025174322581486</v>
      </c>
      <c r="O12" s="82">
        <f>IF(O13="Yes",IF(SUM($B$10:O10)/(SUM($B$6:O6)+SUM($B$9:O9))&lt;0,999.99,SUM($B$10:O10)/(SUM($B$6:O6)+SUM($B$9:O9))),"")</f>
        <v>0.1041123921762286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23943.87009</v>
      </c>
      <c r="C18" s="36">
        <f>O18</f>
        <v>23943.87009</v>
      </c>
      <c r="D18" s="36">
        <f>P18</f>
        <v>23943.87009</v>
      </c>
      <c r="E18" s="36">
        <f>Q18</f>
        <v>23943.87009</v>
      </c>
      <c r="F18" s="36">
        <f>R18</f>
        <v>23943.87009</v>
      </c>
      <c r="G18" s="36">
        <f>S18</f>
        <v>23943.87009</v>
      </c>
      <c r="H18" s="36">
        <f>T18</f>
        <v>23943.87009</v>
      </c>
      <c r="I18" s="36">
        <f>U18</f>
        <v>23943.87009</v>
      </c>
      <c r="J18" s="36">
        <f>V18</f>
        <v>23943.87009</v>
      </c>
      <c r="K18" s="36">
        <f>W18</f>
        <v>23943.87009</v>
      </c>
      <c r="L18" s="36">
        <f>X18</f>
        <v>23943.87009</v>
      </c>
      <c r="M18" s="36">
        <f>Y18</f>
        <v>23943.87009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23943.87009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23943.87009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23943.87009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23943.87009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23943.87009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23943.87009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23943.87009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23943.87009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23943.87009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23943.87009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23943.87009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23943.87009</v>
      </c>
      <c r="Z18" s="36">
        <f>SUMIF($B$13:$Y$13,"Yes",B18:Y18)</f>
        <v>335214.1812599999</v>
      </c>
      <c r="AA18" s="36">
        <f>SUM(B18:M18)</f>
        <v>287326.4410799999</v>
      </c>
      <c r="AB18" s="36">
        <f>SUM(B18:Y18)</f>
        <v>574652.8821599997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2416.634440051164</v>
      </c>
      <c r="C20" s="36">
        <f>O20</f>
        <v>2658.297884056281</v>
      </c>
      <c r="D20" s="36">
        <f>P20</f>
        <v>2899.961328061397</v>
      </c>
      <c r="E20" s="36">
        <f>Q20</f>
        <v>3141.624772066513</v>
      </c>
      <c r="F20" s="36">
        <f>R20</f>
        <v>3383.288216071629</v>
      </c>
      <c r="G20" s="36">
        <f>S20</f>
        <v>3624.951660076746</v>
      </c>
      <c r="H20" s="36">
        <f>T20</f>
        <v>2416.634440051164</v>
      </c>
      <c r="I20" s="36">
        <f>U20</f>
        <v>2658.297884056281</v>
      </c>
      <c r="J20" s="36">
        <f>V20</f>
        <v>2899.961328061397</v>
      </c>
      <c r="K20" s="36">
        <f>W20</f>
        <v>3141.624772066513</v>
      </c>
      <c r="L20" s="36">
        <f>X20</f>
        <v>3383.288216071629</v>
      </c>
      <c r="M20" s="36">
        <f>Y20</f>
        <v>3624.951660076746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2416.634440051164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2658.297884056281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2899.961328061397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3141.624772066513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3383.288216071629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3624.951660076746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2416.634440051164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2658.297884056281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2899.961328061397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3141.624772066513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3383.288216071629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3624.951660076746</v>
      </c>
      <c r="Z20" s="36">
        <f>SUMIF($B$13:$Y$13,"Yes",B20:Y20)</f>
        <v>41324.4489248749</v>
      </c>
      <c r="AA20" s="36">
        <f>SUM(B20:M20)</f>
        <v>36249.51660076746</v>
      </c>
      <c r="AB20" s="36">
        <f>SUM(B20:Y20)</f>
        <v>72499.03320153491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201721.8045112782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108359.375</v>
      </c>
      <c r="C24" s="36">
        <f>IFERROR(Calculations!$P14/12,"")</f>
        <v>108359.375</v>
      </c>
      <c r="D24" s="36">
        <f>IFERROR(Calculations!$P14/12,"")</f>
        <v>108359.375</v>
      </c>
      <c r="E24" s="36">
        <f>IFERROR(Calculations!$P14/12,"")</f>
        <v>108359.375</v>
      </c>
      <c r="F24" s="36">
        <f>IFERROR(Calculations!$P14/12,"")</f>
        <v>108359.375</v>
      </c>
      <c r="G24" s="36">
        <f>IFERROR(Calculations!$P14/12,"")</f>
        <v>108359.375</v>
      </c>
      <c r="H24" s="36">
        <f>IFERROR(Calculations!$P14/12,"")</f>
        <v>108359.375</v>
      </c>
      <c r="I24" s="36">
        <f>IFERROR(Calculations!$P14/12,"")</f>
        <v>108359.375</v>
      </c>
      <c r="J24" s="36">
        <f>IFERROR(Calculations!$P14/12,"")</f>
        <v>108359.375</v>
      </c>
      <c r="K24" s="36">
        <f>IFERROR(Calculations!$P14/12,"")</f>
        <v>108359.375</v>
      </c>
      <c r="L24" s="36">
        <f>IFERROR(Calculations!$P14/12,"")</f>
        <v>108359.375</v>
      </c>
      <c r="M24" s="36">
        <f>IFERROR(Calculations!$P14/12,"")</f>
        <v>108359.375</v>
      </c>
      <c r="N24" s="36">
        <f>IFERROR(Calculations!$P14/12,"")</f>
        <v>108359.375</v>
      </c>
      <c r="O24" s="36">
        <f>IFERROR(Calculations!$P14/12,"")</f>
        <v>108359.375</v>
      </c>
      <c r="P24" s="36">
        <f>IFERROR(Calculations!$P14/12,"")</f>
        <v>108359.375</v>
      </c>
      <c r="Q24" s="36">
        <f>IFERROR(Calculations!$P14/12,"")</f>
        <v>108359.375</v>
      </c>
      <c r="R24" s="36">
        <f>IFERROR(Calculations!$P14/12,"")</f>
        <v>108359.375</v>
      </c>
      <c r="S24" s="36">
        <f>IFERROR(Calculations!$P14/12,"")</f>
        <v>108359.375</v>
      </c>
      <c r="T24" s="36">
        <f>IFERROR(Calculations!$P14/12,"")</f>
        <v>108359.375</v>
      </c>
      <c r="U24" s="36">
        <f>IFERROR(Calculations!$P14/12,"")</f>
        <v>108359.375</v>
      </c>
      <c r="V24" s="36">
        <f>IFERROR(Calculations!$P14/12,"")</f>
        <v>108359.375</v>
      </c>
      <c r="W24" s="36">
        <f>IFERROR(Calculations!$P14/12,"")</f>
        <v>108359.375</v>
      </c>
      <c r="X24" s="36">
        <f>IFERROR(Calculations!$P14/12,"")</f>
        <v>108359.375</v>
      </c>
      <c r="Y24" s="36">
        <f>IFERROR(Calculations!$P14/12,"")</f>
        <v>108359.375</v>
      </c>
      <c r="Z24" s="36">
        <f>SUMIF($B$13:$Y$13,"Yes",B24:Y24)</f>
        <v>1517031.25</v>
      </c>
      <c r="AA24" s="36">
        <f>SUM(B24:M24)</f>
        <v>1300312.5</v>
      </c>
      <c r="AB24" s="46">
        <f>SUM(B24:Y24)</f>
        <v>2600625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11297.61904761905</v>
      </c>
      <c r="C25" s="36">
        <f>IFERROR(Calculations!$P15/12,"")</f>
        <v>11297.61904761905</v>
      </c>
      <c r="D25" s="36">
        <f>IFERROR(Calculations!$P15/12,"")</f>
        <v>11297.61904761905</v>
      </c>
      <c r="E25" s="36">
        <f>IFERROR(Calculations!$P15/12,"")</f>
        <v>11297.61904761905</v>
      </c>
      <c r="F25" s="36">
        <f>IFERROR(Calculations!$P15/12,"")</f>
        <v>11297.61904761905</v>
      </c>
      <c r="G25" s="36">
        <f>IFERROR(Calculations!$P15/12,"")</f>
        <v>11297.61904761905</v>
      </c>
      <c r="H25" s="36">
        <f>IFERROR(Calculations!$P15/12,"")</f>
        <v>11297.61904761905</v>
      </c>
      <c r="I25" s="36">
        <f>IFERROR(Calculations!$P15/12,"")</f>
        <v>11297.61904761905</v>
      </c>
      <c r="J25" s="36">
        <f>IFERROR(Calculations!$P15/12,"")</f>
        <v>11297.61904761905</v>
      </c>
      <c r="K25" s="36">
        <f>IFERROR(Calculations!$P15/12,"")</f>
        <v>11297.61904761905</v>
      </c>
      <c r="L25" s="36">
        <f>IFERROR(Calculations!$P15/12,"")</f>
        <v>11297.61904761905</v>
      </c>
      <c r="M25" s="36">
        <f>IFERROR(Calculations!$P15/12,"")</f>
        <v>11297.61904761905</v>
      </c>
      <c r="N25" s="36">
        <f>IFERROR(Calculations!$P15/12,"")</f>
        <v>11297.61904761905</v>
      </c>
      <c r="O25" s="36">
        <f>IFERROR(Calculations!$P15/12,"")</f>
        <v>11297.61904761905</v>
      </c>
      <c r="P25" s="36">
        <f>IFERROR(Calculations!$P15/12,"")</f>
        <v>11297.61904761905</v>
      </c>
      <c r="Q25" s="36">
        <f>IFERROR(Calculations!$P15/12,"")</f>
        <v>11297.61904761905</v>
      </c>
      <c r="R25" s="36">
        <f>IFERROR(Calculations!$P15/12,"")</f>
        <v>11297.61904761905</v>
      </c>
      <c r="S25" s="36">
        <f>IFERROR(Calculations!$P15/12,"")</f>
        <v>11297.61904761905</v>
      </c>
      <c r="T25" s="36">
        <f>IFERROR(Calculations!$P15/12,"")</f>
        <v>11297.61904761905</v>
      </c>
      <c r="U25" s="36">
        <f>IFERROR(Calculations!$P15/12,"")</f>
        <v>11297.61904761905</v>
      </c>
      <c r="V25" s="36">
        <f>IFERROR(Calculations!$P15/12,"")</f>
        <v>11297.61904761905</v>
      </c>
      <c r="W25" s="36">
        <f>IFERROR(Calculations!$P15/12,"")</f>
        <v>11297.61904761905</v>
      </c>
      <c r="X25" s="36">
        <f>IFERROR(Calculations!$P15/12,"")</f>
        <v>11297.61904761905</v>
      </c>
      <c r="Y25" s="36">
        <f>IFERROR(Calculations!$P15/12,"")</f>
        <v>11297.61904761905</v>
      </c>
      <c r="Z25" s="36">
        <f>SUMIF($B$13:$Y$13,"Yes",B25:Y25)</f>
        <v>158166.6666666667</v>
      </c>
      <c r="AA25" s="36">
        <f>SUM(B25:M25)</f>
        <v>135571.4285714286</v>
      </c>
      <c r="AB25" s="46">
        <f>SUM(B25:Y25)</f>
        <v>271142.8571428572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105600</v>
      </c>
      <c r="C26" s="36">
        <f>IFERROR(Calculations!$P16/12,"")</f>
        <v>105600</v>
      </c>
      <c r="D26" s="36">
        <f>IFERROR(Calculations!$P16/12,"")</f>
        <v>105600</v>
      </c>
      <c r="E26" s="36">
        <f>IFERROR(Calculations!$P16/12,"")</f>
        <v>105600</v>
      </c>
      <c r="F26" s="36">
        <f>IFERROR(Calculations!$P16/12,"")</f>
        <v>105600</v>
      </c>
      <c r="G26" s="36">
        <f>IFERROR(Calculations!$P16/12,"")</f>
        <v>105600</v>
      </c>
      <c r="H26" s="36">
        <f>IFERROR(Calculations!$P16/12,"")</f>
        <v>105600</v>
      </c>
      <c r="I26" s="36">
        <f>IFERROR(Calculations!$P16/12,"")</f>
        <v>105600</v>
      </c>
      <c r="J26" s="36">
        <f>IFERROR(Calculations!$P16/12,"")</f>
        <v>105600</v>
      </c>
      <c r="K26" s="36">
        <f>IFERROR(Calculations!$P16/12,"")</f>
        <v>105600</v>
      </c>
      <c r="L26" s="36">
        <f>IFERROR(Calculations!$P16/12,"")</f>
        <v>105600</v>
      </c>
      <c r="M26" s="36">
        <f>IFERROR(Calculations!$P16/12,"")</f>
        <v>105600</v>
      </c>
      <c r="N26" s="36">
        <f>IFERROR(Calculations!$P16/12,"")</f>
        <v>105600</v>
      </c>
      <c r="O26" s="36">
        <f>IFERROR(Calculations!$P16/12,"")</f>
        <v>105600</v>
      </c>
      <c r="P26" s="36">
        <f>IFERROR(Calculations!$P16/12,"")</f>
        <v>105600</v>
      </c>
      <c r="Q26" s="36">
        <f>IFERROR(Calculations!$P16/12,"")</f>
        <v>105600</v>
      </c>
      <c r="R26" s="36">
        <f>IFERROR(Calculations!$P16/12,"")</f>
        <v>105600</v>
      </c>
      <c r="S26" s="36">
        <f>IFERROR(Calculations!$P16/12,"")</f>
        <v>105600</v>
      </c>
      <c r="T26" s="36">
        <f>IFERROR(Calculations!$P16/12,"")</f>
        <v>105600</v>
      </c>
      <c r="U26" s="36">
        <f>IFERROR(Calculations!$P16/12,"")</f>
        <v>105600</v>
      </c>
      <c r="V26" s="36">
        <f>IFERROR(Calculations!$P16/12,"")</f>
        <v>105600</v>
      </c>
      <c r="W26" s="36">
        <f>IFERROR(Calculations!$P16/12,"")</f>
        <v>105600</v>
      </c>
      <c r="X26" s="36">
        <f>IFERROR(Calculations!$P16/12,"")</f>
        <v>105600</v>
      </c>
      <c r="Y26" s="36">
        <f>IFERROR(Calculations!$P16/12,"")</f>
        <v>105600</v>
      </c>
      <c r="Z26" s="36">
        <f>SUMIF($B$13:$Y$13,"Yes",B26:Y26)</f>
        <v>1478400</v>
      </c>
      <c r="AA26" s="36">
        <f>SUM(B26:M26)</f>
        <v>1267200</v>
      </c>
      <c r="AB26" s="46">
        <f>SUM(B26:Y26)</f>
        <v>2534400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16250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1120000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331617.4985776702</v>
      </c>
      <c r="C30" s="19">
        <f>SUM(C18:C29)</f>
        <v>331859.1620216753</v>
      </c>
      <c r="D30" s="19">
        <f>SUM(D18:D29)</f>
        <v>332100.8254656804</v>
      </c>
      <c r="E30" s="19">
        <f>SUM(E18:E29)</f>
        <v>332342.4889096856</v>
      </c>
      <c r="F30" s="19">
        <f>SUM(F18:F29)</f>
        <v>332584.1523536907</v>
      </c>
      <c r="G30" s="19">
        <f>SUM(G18:G29)</f>
        <v>332825.8157976958</v>
      </c>
      <c r="H30" s="19">
        <f>SUM(H18:H29)</f>
        <v>331617.4985776702</v>
      </c>
      <c r="I30" s="19">
        <f>SUM(I18:I29)</f>
        <v>331859.1620216753</v>
      </c>
      <c r="J30" s="19">
        <f>SUM(J18:J29)</f>
        <v>332100.8254656804</v>
      </c>
      <c r="K30" s="19">
        <f>SUM(K18:K29)</f>
        <v>332342.4889096856</v>
      </c>
      <c r="L30" s="19">
        <f>SUM(L18:L29)</f>
        <v>332584.1523536907</v>
      </c>
      <c r="M30" s="19">
        <f>SUM(M18:M29)</f>
        <v>332825.8157976958</v>
      </c>
      <c r="N30" s="19">
        <f>SUM(N18:N29)</f>
        <v>331617.4985776702</v>
      </c>
      <c r="O30" s="19">
        <f>SUM(O18:O29)</f>
        <v>331859.1620216753</v>
      </c>
      <c r="P30" s="19">
        <f>SUM(P18:P29)</f>
        <v>332100.8254656804</v>
      </c>
      <c r="Q30" s="19">
        <f>SUM(Q18:Q29)</f>
        <v>348592.4889096856</v>
      </c>
      <c r="R30" s="19">
        <f>SUM(R18:R29)</f>
        <v>332584.1523536907</v>
      </c>
      <c r="S30" s="19">
        <f>SUM(S18:S29)</f>
        <v>332825.8157976958</v>
      </c>
      <c r="T30" s="19">
        <f>SUM(T18:T29)</f>
        <v>331617.4985776702</v>
      </c>
      <c r="U30" s="19">
        <f>SUM(U18:U29)</f>
        <v>331859.1620216753</v>
      </c>
      <c r="V30" s="19">
        <f>SUM(V18:V29)</f>
        <v>332100.8254656804</v>
      </c>
      <c r="W30" s="19">
        <f>SUM(W18:W29)</f>
        <v>332342.4889096856</v>
      </c>
      <c r="X30" s="19">
        <f>SUM(X18:X29)</f>
        <v>332584.1523536907</v>
      </c>
      <c r="Y30" s="19">
        <f>SUM(Y18:Y29)</f>
        <v>332825.8157976958</v>
      </c>
      <c r="Z30" s="19">
        <f>SUMIF($B$13:$Y$13,"Yes",B30:Y30)</f>
        <v>4650136.546851542</v>
      </c>
      <c r="AA30" s="19">
        <f>SUM(B30:M30)</f>
        <v>3986659.886252197</v>
      </c>
      <c r="AB30" s="19">
        <f>SUM(B30:Y30)</f>
        <v>7989569.772504393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6333.333333333333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6333.333333333333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6333.333333333333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6333.333333333333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16666.66666666667</v>
      </c>
      <c r="AA36" s="36">
        <f>SUM(B36:M36)</f>
        <v>16000</v>
      </c>
      <c r="AB36" s="36">
        <f>SUM(B36:Y36)</f>
        <v>31999.99999999999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4666.666666666667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6000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6000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6000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6000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7500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7500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7500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7500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15000</v>
      </c>
      <c r="AA42" s="36">
        <f>SUM(B42:M42)</f>
        <v>15000</v>
      </c>
      <c r="AB42" s="36">
        <f>SUM(B42:Y42)</f>
        <v>30000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7500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7500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7500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7500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15000</v>
      </c>
      <c r="AA45" s="36">
        <f>SUM(B45:M45)</f>
        <v>15000</v>
      </c>
      <c r="AB45" s="36">
        <f>SUM(B45:Y45)</f>
        <v>30000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4000</v>
      </c>
      <c r="D48" s="36">
        <f>P48</f>
        <v>0</v>
      </c>
      <c r="E48" s="36">
        <f>Q48</f>
        <v>0</v>
      </c>
      <c r="F48" s="36">
        <f>R48</f>
        <v>9000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9000</v>
      </c>
      <c r="M48" s="36">
        <f>Y48</f>
        <v>0</v>
      </c>
      <c r="N48" s="46">
        <f>SUM(N49:N53)</f>
        <v>0</v>
      </c>
      <c r="O48" s="46">
        <f>SUM(O49:O53)</f>
        <v>4000</v>
      </c>
      <c r="P48" s="46">
        <f>SUM(P49:P53)</f>
        <v>0</v>
      </c>
      <c r="Q48" s="46">
        <f>SUM(Q49:Q53)</f>
        <v>0</v>
      </c>
      <c r="R48" s="46">
        <f>SUM(R49:R53)</f>
        <v>9000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9000</v>
      </c>
      <c r="Y48" s="46">
        <f>SUM(Y49:Y53)</f>
        <v>0</v>
      </c>
      <c r="Z48" s="46">
        <f>SUMIF($B$13:$Y$13,"Yes",B48:Y48)</f>
        <v>26000</v>
      </c>
      <c r="AA48" s="46">
        <f>SUM(B48:M48)</f>
        <v>22000</v>
      </c>
      <c r="AB48" s="46">
        <f>SUM(B48:Y48)</f>
        <v>44000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4000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4000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9000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9000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9000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9000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18000</v>
      </c>
      <c r="AA51" s="46">
        <f>SUM(B51:M51)</f>
        <v>18000</v>
      </c>
      <c r="AB51" s="46">
        <f>SUM(B51:Y51)</f>
        <v>36000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359.6182202457089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359.6182202457089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359.6182202457089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359.6182202457089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1078.854660737127</v>
      </c>
      <c r="AA54" s="46">
        <f>SUM(B54:M54)</f>
        <v>719.2364404914179</v>
      </c>
      <c r="AB54" s="46">
        <f>SUM(B54:Y54)</f>
        <v>1438.472880982836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359.6182202457089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359.6182202457089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359.6182202457089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359.6182202457089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1078.854660737127</v>
      </c>
      <c r="AA57" s="46">
        <f>SUM(B57:M57)</f>
        <v>719.2364404914179</v>
      </c>
      <c r="AB57" s="46">
        <f>SUM(B57:Y57)</f>
        <v>1438.472880982836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3520.833333333333</v>
      </c>
      <c r="C66" s="36">
        <f>O66</f>
        <v>520.8333333333334</v>
      </c>
      <c r="D66" s="36">
        <f>P66</f>
        <v>3520.833333333333</v>
      </c>
      <c r="E66" s="36">
        <f>Q66</f>
        <v>3520.833333333333</v>
      </c>
      <c r="F66" s="36">
        <f>R66</f>
        <v>3520.833333333333</v>
      </c>
      <c r="G66" s="36">
        <f>S66</f>
        <v>3520.833333333333</v>
      </c>
      <c r="H66" s="36">
        <f>T66</f>
        <v>3520.833333333333</v>
      </c>
      <c r="I66" s="36">
        <f>U66</f>
        <v>520.8333333333334</v>
      </c>
      <c r="J66" s="36">
        <f>V66</f>
        <v>3520.833333333333</v>
      </c>
      <c r="K66" s="36">
        <f>W66</f>
        <v>3520.833333333333</v>
      </c>
      <c r="L66" s="36">
        <f>X66</f>
        <v>3520.833333333333</v>
      </c>
      <c r="M66" s="36">
        <f>Y66</f>
        <v>3520.833333333333</v>
      </c>
      <c r="N66" s="46">
        <f>SUM(N67:N71)</f>
        <v>3520.833333333333</v>
      </c>
      <c r="O66" s="46">
        <f>SUM(O67:O71)</f>
        <v>520.8333333333334</v>
      </c>
      <c r="P66" s="46">
        <f>SUM(P67:P71)</f>
        <v>3520.833333333333</v>
      </c>
      <c r="Q66" s="46">
        <f>SUM(Q67:Q71)</f>
        <v>3520.833333333333</v>
      </c>
      <c r="R66" s="46">
        <f>SUM(R67:R71)</f>
        <v>3520.833333333333</v>
      </c>
      <c r="S66" s="46">
        <f>SUM(S67:S71)</f>
        <v>3520.833333333333</v>
      </c>
      <c r="T66" s="46">
        <f>SUM(T67:T71)</f>
        <v>3520.833333333333</v>
      </c>
      <c r="U66" s="46">
        <f>SUM(U67:U71)</f>
        <v>520.8333333333334</v>
      </c>
      <c r="V66" s="46">
        <f>SUM(V67:V71)</f>
        <v>3520.833333333333</v>
      </c>
      <c r="W66" s="46">
        <f>SUM(W67:W71)</f>
        <v>3520.833333333333</v>
      </c>
      <c r="X66" s="46">
        <f>SUM(X67:X71)</f>
        <v>3520.833333333333</v>
      </c>
      <c r="Y66" s="46">
        <f>SUM(Y67:Y71)</f>
        <v>3520.833333333333</v>
      </c>
      <c r="Z66" s="46">
        <f>SUMIF($B$13:$Y$13,"Yes",B66:Y66)</f>
        <v>40291.66666666666</v>
      </c>
      <c r="AA66" s="46">
        <f>SUM(B66:M66)</f>
        <v>36249.99999999999</v>
      </c>
      <c r="AB66" s="46">
        <f>SUM(B66:Y66)</f>
        <v>72500.00000000001</v>
      </c>
    </row>
    <row r="67" spans="1:30" hidden="true" outlineLevel="1">
      <c r="A67" s="181" t="str">
        <f>Calculations!$A$4</f>
        <v>Bananas</v>
      </c>
      <c r="B67" s="36">
        <f>N67</f>
        <v>520.8333333333334</v>
      </c>
      <c r="C67" s="36">
        <f>O67</f>
        <v>520.8333333333334</v>
      </c>
      <c r="D67" s="36">
        <f>P67</f>
        <v>520.8333333333334</v>
      </c>
      <c r="E67" s="36">
        <f>Q67</f>
        <v>520.8333333333334</v>
      </c>
      <c r="F67" s="36">
        <f>R67</f>
        <v>520.8333333333334</v>
      </c>
      <c r="G67" s="36">
        <f>S67</f>
        <v>520.8333333333334</v>
      </c>
      <c r="H67" s="36">
        <f>T67</f>
        <v>520.8333333333334</v>
      </c>
      <c r="I67" s="36">
        <f>U67</f>
        <v>520.8333333333334</v>
      </c>
      <c r="J67" s="36">
        <f>V67</f>
        <v>520.8333333333334</v>
      </c>
      <c r="K67" s="36">
        <f>W67</f>
        <v>520.8333333333334</v>
      </c>
      <c r="L67" s="36">
        <f>X67</f>
        <v>520.8333333333334</v>
      </c>
      <c r="M67" s="36">
        <f>Y67</f>
        <v>520.8333333333334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520.8333333333334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520.8333333333334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520.8333333333334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520.8333333333334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520.8333333333334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520.8333333333334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520.8333333333334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520.8333333333334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520.8333333333334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520.8333333333334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520.8333333333334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520.8333333333334</v>
      </c>
      <c r="Z67" s="46">
        <f>SUMIF($B$13:$Y$13,"Yes",B67:Y67)</f>
        <v>7291.666666666665</v>
      </c>
      <c r="AA67" s="46">
        <f>SUM(B67:M67)</f>
        <v>6249.999999999999</v>
      </c>
      <c r="AB67" s="46">
        <f>SUM(B67:Y67)</f>
        <v>12500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Beans</v>
      </c>
      <c r="B69" s="36">
        <f>N69</f>
        <v>3000</v>
      </c>
      <c r="C69" s="36">
        <f>O69</f>
        <v>0</v>
      </c>
      <c r="D69" s="36">
        <f>P69</f>
        <v>3000</v>
      </c>
      <c r="E69" s="36">
        <f>Q69</f>
        <v>3000</v>
      </c>
      <c r="F69" s="36">
        <f>R69</f>
        <v>3000</v>
      </c>
      <c r="G69" s="36">
        <f>S69</f>
        <v>3000</v>
      </c>
      <c r="H69" s="36">
        <f>T69</f>
        <v>3000</v>
      </c>
      <c r="I69" s="36">
        <f>U69</f>
        <v>0</v>
      </c>
      <c r="J69" s="36">
        <f>V69</f>
        <v>3000</v>
      </c>
      <c r="K69" s="36">
        <f>W69</f>
        <v>3000</v>
      </c>
      <c r="L69" s="36">
        <f>X69</f>
        <v>3000</v>
      </c>
      <c r="M69" s="36">
        <f>Y69</f>
        <v>3000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3000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3000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3000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3000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3000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3000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3000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3000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3000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3000</v>
      </c>
      <c r="Z69" s="46">
        <f>SUMIF($B$13:$Y$13,"Yes",B69:Y69)</f>
        <v>33000</v>
      </c>
      <c r="AA69" s="46">
        <f>SUM(B69:M69)</f>
        <v>30000</v>
      </c>
      <c r="AB69" s="46">
        <f>SUM(B69:Y69)</f>
        <v>60000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23725</v>
      </c>
      <c r="C74" s="46">
        <f>SUM(Calculations!$Q$14:$Q$16)/12</f>
        <v>23725</v>
      </c>
      <c r="D74" s="46">
        <f>SUM(Calculations!$Q$14:$Q$16)/12</f>
        <v>23725</v>
      </c>
      <c r="E74" s="46">
        <f>SUM(Calculations!$Q$14:$Q$16)/12</f>
        <v>23725</v>
      </c>
      <c r="F74" s="46">
        <f>SUM(Calculations!$Q$14:$Q$16)/12</f>
        <v>23725</v>
      </c>
      <c r="G74" s="46">
        <f>SUM(Calculations!$Q$14:$Q$16)/12</f>
        <v>23725</v>
      </c>
      <c r="H74" s="46">
        <f>SUM(Calculations!$Q$14:$Q$16)/12</f>
        <v>23725</v>
      </c>
      <c r="I74" s="46">
        <f>SUM(Calculations!$Q$14:$Q$16)/12</f>
        <v>23725</v>
      </c>
      <c r="J74" s="46">
        <f>SUM(Calculations!$Q$14:$Q$16)/12</f>
        <v>23725</v>
      </c>
      <c r="K74" s="46">
        <f>SUM(Calculations!$Q$14:$Q$16)/12</f>
        <v>23725</v>
      </c>
      <c r="L74" s="46">
        <f>SUM(Calculations!$Q$14:$Q$16)/12</f>
        <v>23725</v>
      </c>
      <c r="M74" s="46">
        <f>SUM(Calculations!$Q$14:$Q$16)/12</f>
        <v>23725</v>
      </c>
      <c r="N74" s="46">
        <f>SUM(Calculations!$Q$14:$Q$16)/12</f>
        <v>23725</v>
      </c>
      <c r="O74" s="46">
        <f>SUM(Calculations!$Q$14:$Q$16)/12</f>
        <v>23725</v>
      </c>
      <c r="P74" s="46">
        <f>SUM(Calculations!$Q$14:$Q$16)/12</f>
        <v>23725</v>
      </c>
      <c r="Q74" s="46">
        <f>SUM(Calculations!$Q$14:$Q$16)/12</f>
        <v>23725</v>
      </c>
      <c r="R74" s="46">
        <f>SUM(Calculations!$Q$14:$Q$16)/12</f>
        <v>23725</v>
      </c>
      <c r="S74" s="46">
        <f>SUM(Calculations!$Q$14:$Q$16)/12</f>
        <v>23725</v>
      </c>
      <c r="T74" s="46">
        <f>SUM(Calculations!$Q$14:$Q$16)/12</f>
        <v>23725</v>
      </c>
      <c r="U74" s="46">
        <f>SUM(Calculations!$Q$14:$Q$16)/12</f>
        <v>23725</v>
      </c>
      <c r="V74" s="46">
        <f>SUM(Calculations!$Q$14:$Q$16)/12</f>
        <v>23725</v>
      </c>
      <c r="W74" s="46">
        <f>SUM(Calculations!$Q$14:$Q$16)/12</f>
        <v>23725</v>
      </c>
      <c r="X74" s="46">
        <f>SUM(Calculations!$Q$14:$Q$16)/12</f>
        <v>23725</v>
      </c>
      <c r="Y74" s="46">
        <f>SUM(Calculations!$Q$14:$Q$16)/12</f>
        <v>23725</v>
      </c>
      <c r="Z74" s="46">
        <f>SUMIF($B$13:$Y$13,"Yes",B74:Y74)</f>
        <v>332150</v>
      </c>
      <c r="AA74" s="46">
        <f>SUM(B74:M74)</f>
        <v>284700</v>
      </c>
      <c r="AB74" s="46">
        <f>SUM(B74:Y74)</f>
        <v>569400</v>
      </c>
    </row>
    <row r="75" spans="1:30">
      <c r="A75" s="16" t="s">
        <v>47</v>
      </c>
      <c r="B75" s="46">
        <f>SUM(Calculations!$R$14:$R$16)/12</f>
        <v>1021.111111111111</v>
      </c>
      <c r="C75" s="46">
        <f>SUM(Calculations!$R$14:$R$16)/12</f>
        <v>1021.111111111111</v>
      </c>
      <c r="D75" s="46">
        <f>SUM(Calculations!$R$14:$R$16)/12</f>
        <v>1021.111111111111</v>
      </c>
      <c r="E75" s="46">
        <f>SUM(Calculations!$R$14:$R$16)/12</f>
        <v>1021.111111111111</v>
      </c>
      <c r="F75" s="46">
        <f>SUM(Calculations!$R$14:$R$16)/12</f>
        <v>1021.111111111111</v>
      </c>
      <c r="G75" s="46">
        <f>SUM(Calculations!$R$14:$R$16)/12</f>
        <v>1021.111111111111</v>
      </c>
      <c r="H75" s="46">
        <f>SUM(Calculations!$R$14:$R$16)/12</f>
        <v>1021.111111111111</v>
      </c>
      <c r="I75" s="46">
        <f>SUM(Calculations!$R$14:$R$16)/12</f>
        <v>1021.111111111111</v>
      </c>
      <c r="J75" s="46">
        <f>SUM(Calculations!$R$14:$R$16)/12</f>
        <v>1021.111111111111</v>
      </c>
      <c r="K75" s="46">
        <f>SUM(Calculations!$R$14:$R$16)/12</f>
        <v>1021.111111111111</v>
      </c>
      <c r="L75" s="46">
        <f>SUM(Calculations!$R$14:$R$16)/12</f>
        <v>1021.111111111111</v>
      </c>
      <c r="M75" s="46">
        <f>SUM(Calculations!$R$14:$R$16)/12</f>
        <v>1021.111111111111</v>
      </c>
      <c r="N75" s="46">
        <f>SUM(Calculations!$R$14:$R$16)/12</f>
        <v>1021.111111111111</v>
      </c>
      <c r="O75" s="46">
        <f>SUM(Calculations!$R$14:$R$16)/12</f>
        <v>1021.111111111111</v>
      </c>
      <c r="P75" s="46">
        <f>SUM(Calculations!$R$14:$R$16)/12</f>
        <v>1021.111111111111</v>
      </c>
      <c r="Q75" s="46">
        <f>SUM(Calculations!$R$14:$R$16)/12</f>
        <v>1021.111111111111</v>
      </c>
      <c r="R75" s="46">
        <f>SUM(Calculations!$R$14:$R$16)/12</f>
        <v>1021.111111111111</v>
      </c>
      <c r="S75" s="46">
        <f>SUM(Calculations!$R$14:$R$16)/12</f>
        <v>1021.111111111111</v>
      </c>
      <c r="T75" s="46">
        <f>SUM(Calculations!$R$14:$R$16)/12</f>
        <v>1021.111111111111</v>
      </c>
      <c r="U75" s="46">
        <f>SUM(Calculations!$R$14:$R$16)/12</f>
        <v>1021.111111111111</v>
      </c>
      <c r="V75" s="46">
        <f>SUM(Calculations!$R$14:$R$16)/12</f>
        <v>1021.111111111111</v>
      </c>
      <c r="W75" s="46">
        <f>SUM(Calculations!$R$14:$R$16)/12</f>
        <v>1021.111111111111</v>
      </c>
      <c r="X75" s="46">
        <f>SUM(Calculations!$R$14:$R$16)/12</f>
        <v>1021.111111111111</v>
      </c>
      <c r="Y75" s="46">
        <f>SUM(Calculations!$R$14:$R$16)/12</f>
        <v>1021.111111111111</v>
      </c>
      <c r="Z75" s="46">
        <f>SUMIF($B$13:$Y$13,"Yes",B75:Y75)</f>
        <v>14295.55555555556</v>
      </c>
      <c r="AA75" s="46">
        <f>SUM(B75:M75)</f>
        <v>12253.33333333333</v>
      </c>
      <c r="AB75" s="46">
        <f>SUM(B75:Y75)</f>
        <v>24506.66666666666</v>
      </c>
    </row>
    <row r="76" spans="1:30">
      <c r="A76" s="16" t="s">
        <v>48</v>
      </c>
      <c r="B76" s="46">
        <f>SUM(Calculations!$S$14:$S$16)/12</f>
        <v>8405.075187969926</v>
      </c>
      <c r="C76" s="46">
        <f>SUM(Calculations!$S$14:$S$16)/12</f>
        <v>8405.075187969926</v>
      </c>
      <c r="D76" s="46">
        <f>SUM(Calculations!$S$14:$S$16)/12</f>
        <v>8405.075187969926</v>
      </c>
      <c r="E76" s="46">
        <f>SUM(Calculations!$S$14:$S$16)/12</f>
        <v>8405.075187969926</v>
      </c>
      <c r="F76" s="46">
        <f>SUM(Calculations!$S$14:$S$16)/12</f>
        <v>8405.075187969926</v>
      </c>
      <c r="G76" s="46">
        <f>SUM(Calculations!$S$14:$S$16)/12</f>
        <v>8405.075187969926</v>
      </c>
      <c r="H76" s="46">
        <f>SUM(Calculations!$S$14:$S$16)/12</f>
        <v>8405.075187969926</v>
      </c>
      <c r="I76" s="46">
        <f>SUM(Calculations!$S$14:$S$16)/12</f>
        <v>8405.075187969926</v>
      </c>
      <c r="J76" s="46">
        <f>SUM(Calculations!$S$14:$S$16)/12</f>
        <v>8405.075187969926</v>
      </c>
      <c r="K76" s="46">
        <f>SUM(Calculations!$S$14:$S$16)/12</f>
        <v>8405.075187969926</v>
      </c>
      <c r="L76" s="46">
        <f>SUM(Calculations!$S$14:$S$16)/12</f>
        <v>8405.075187969926</v>
      </c>
      <c r="M76" s="46">
        <f>SUM(Calculations!$S$14:$S$16)/12</f>
        <v>8405.075187969926</v>
      </c>
      <c r="N76" s="46">
        <f>SUM(Calculations!$S$14:$S$16)/12</f>
        <v>8405.075187969926</v>
      </c>
      <c r="O76" s="46">
        <f>SUM(Calculations!$S$14:$S$16)/12</f>
        <v>8405.075187969926</v>
      </c>
      <c r="P76" s="46">
        <f>SUM(Calculations!$S$14:$S$16)/12</f>
        <v>8405.075187969926</v>
      </c>
      <c r="Q76" s="46">
        <f>SUM(Calculations!$S$14:$S$16)/12</f>
        <v>8405.075187969926</v>
      </c>
      <c r="R76" s="46">
        <f>SUM(Calculations!$S$14:$S$16)/12</f>
        <v>8405.075187969926</v>
      </c>
      <c r="S76" s="46">
        <f>SUM(Calculations!$S$14:$S$16)/12</f>
        <v>8405.075187969926</v>
      </c>
      <c r="T76" s="46">
        <f>SUM(Calculations!$S$14:$S$16)/12</f>
        <v>8405.075187969926</v>
      </c>
      <c r="U76" s="46">
        <f>SUM(Calculations!$S$14:$S$16)/12</f>
        <v>8405.075187969926</v>
      </c>
      <c r="V76" s="46">
        <f>SUM(Calculations!$S$14:$S$16)/12</f>
        <v>8405.075187969926</v>
      </c>
      <c r="W76" s="46">
        <f>SUM(Calculations!$S$14:$S$16)/12</f>
        <v>8405.075187969926</v>
      </c>
      <c r="X76" s="46">
        <f>SUM(Calculations!$S$14:$S$16)/12</f>
        <v>8405.075187969926</v>
      </c>
      <c r="Y76" s="46">
        <f>SUM(Calculations!$S$14:$S$16)/12</f>
        <v>8405.075187969926</v>
      </c>
      <c r="Z76" s="46">
        <f>SUMIF($B$13:$Y$13,"Yes",B76:Y76)</f>
        <v>117671.0526315789</v>
      </c>
      <c r="AA76" s="46">
        <f>SUM(B76:M76)</f>
        <v>100860.9022556391</v>
      </c>
      <c r="AB76" s="46">
        <f>SUM(B76:Y76)</f>
        <v>201721.8045112782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420000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104629.2138074244</v>
      </c>
      <c r="C81" s="46">
        <f>(SUM($AA$18:$AA$29)-SUM($AA$36,$AA$42,$AA$48,$AA$54,$AA$60,$AA$66,$AA$72:$AA$79))*Parameters!$B$37/12</f>
        <v>104629.2138074244</v>
      </c>
      <c r="D81" s="46">
        <f>(SUM($AA$18:$AA$29)-SUM($AA$36,$AA$42,$AA$48,$AA$54,$AA$60,$AA$66,$AA$72:$AA$79))*Parameters!$B$37/12</f>
        <v>104629.2138074244</v>
      </c>
      <c r="E81" s="46">
        <f>(SUM($AA$18:$AA$29)-SUM($AA$36,$AA$42,$AA$48,$AA$54,$AA$60,$AA$66,$AA$72:$AA$79))*Parameters!$B$37/12</f>
        <v>104629.2138074244</v>
      </c>
      <c r="F81" s="46">
        <f>(SUM($AA$18:$AA$29)-SUM($AA$36,$AA$42,$AA$48,$AA$54,$AA$60,$AA$66,$AA$72:$AA$79))*Parameters!$B$37/12</f>
        <v>104629.2138074244</v>
      </c>
      <c r="G81" s="46">
        <f>(SUM($AA$18:$AA$29)-SUM($AA$36,$AA$42,$AA$48,$AA$54,$AA$60,$AA$66,$AA$72:$AA$79))*Parameters!$B$37/12</f>
        <v>104629.2138074244</v>
      </c>
      <c r="H81" s="46">
        <f>(SUM($AA$18:$AA$29)-SUM($AA$36,$AA$42,$AA$48,$AA$54,$AA$60,$AA$66,$AA$72:$AA$79))*Parameters!$B$37/12</f>
        <v>104629.2138074244</v>
      </c>
      <c r="I81" s="46">
        <f>(SUM($AA$18:$AA$29)-SUM($AA$36,$AA$42,$AA$48,$AA$54,$AA$60,$AA$66,$AA$72:$AA$79))*Parameters!$B$37/12</f>
        <v>104629.2138074244</v>
      </c>
      <c r="J81" s="46">
        <f>(SUM($AA$18:$AA$29)-SUM($AA$36,$AA$42,$AA$48,$AA$54,$AA$60,$AA$66,$AA$72:$AA$79))*Parameters!$B$37/12</f>
        <v>104629.2138074244</v>
      </c>
      <c r="K81" s="46">
        <f>(SUM($AA$18:$AA$29)-SUM($AA$36,$AA$42,$AA$48,$AA$54,$AA$60,$AA$66,$AA$72:$AA$79))*Parameters!$B$37/12</f>
        <v>104629.2138074244</v>
      </c>
      <c r="L81" s="46">
        <f>(SUM($AA$18:$AA$29)-SUM($AA$36,$AA$42,$AA$48,$AA$54,$AA$60,$AA$66,$AA$72:$AA$79))*Parameters!$B$37/12</f>
        <v>104629.2138074244</v>
      </c>
      <c r="M81" s="46">
        <f>(SUM($AA$18:$AA$29)-SUM($AA$36,$AA$42,$AA$48,$AA$54,$AA$60,$AA$66,$AA$72:$AA$79))*Parameters!$B$37/12</f>
        <v>104629.2138074244</v>
      </c>
      <c r="N81" s="46">
        <f>(SUM($AA$18:$AA$29)-SUM($AA$36,$AA$42,$AA$48,$AA$54,$AA$60,$AA$66,$AA$72:$AA$79))*Parameters!$B$37/12</f>
        <v>104629.2138074244</v>
      </c>
      <c r="O81" s="46">
        <f>(SUM($AA$18:$AA$29)-SUM($AA$36,$AA$42,$AA$48,$AA$54,$AA$60,$AA$66,$AA$72:$AA$79))*Parameters!$B$37/12</f>
        <v>104629.2138074244</v>
      </c>
      <c r="P81" s="46">
        <f>(SUM($AA$18:$AA$29)-SUM($AA$36,$AA$42,$AA$48,$AA$54,$AA$60,$AA$66,$AA$72:$AA$79))*Parameters!$B$37/12</f>
        <v>104629.2138074244</v>
      </c>
      <c r="Q81" s="46">
        <f>(SUM($AA$18:$AA$29)-SUM($AA$36,$AA$42,$AA$48,$AA$54,$AA$60,$AA$66,$AA$72:$AA$79))*Parameters!$B$37/12</f>
        <v>104629.2138074244</v>
      </c>
      <c r="R81" s="46">
        <f>(SUM($AA$18:$AA$29)-SUM($AA$36,$AA$42,$AA$48,$AA$54,$AA$60,$AA$66,$AA$72:$AA$79))*Parameters!$B$37/12</f>
        <v>104629.2138074244</v>
      </c>
      <c r="S81" s="46">
        <f>(SUM($AA$18:$AA$29)-SUM($AA$36,$AA$42,$AA$48,$AA$54,$AA$60,$AA$66,$AA$72:$AA$79))*Parameters!$B$37/12</f>
        <v>104629.2138074244</v>
      </c>
      <c r="T81" s="46">
        <f>(SUM($AA$18:$AA$29)-SUM($AA$36,$AA$42,$AA$48,$AA$54,$AA$60,$AA$66,$AA$72:$AA$79))*Parameters!$B$37/12</f>
        <v>104629.2138074244</v>
      </c>
      <c r="U81" s="46">
        <f>(SUM($AA$18:$AA$29)-SUM($AA$36,$AA$42,$AA$48,$AA$54,$AA$60,$AA$66,$AA$72:$AA$79))*Parameters!$B$37/12</f>
        <v>104629.2138074244</v>
      </c>
      <c r="V81" s="46">
        <f>(SUM($AA$18:$AA$29)-SUM($AA$36,$AA$42,$AA$48,$AA$54,$AA$60,$AA$66,$AA$72:$AA$79))*Parameters!$B$37/12</f>
        <v>104629.2138074244</v>
      </c>
      <c r="W81" s="46">
        <f>(SUM($AA$18:$AA$29)-SUM($AA$36,$AA$42,$AA$48,$AA$54,$AA$60,$AA$66,$AA$72:$AA$79))*Parameters!$B$37/12</f>
        <v>104629.2138074244</v>
      </c>
      <c r="X81" s="46">
        <f>(SUM($AA$18:$AA$29)-SUM($AA$36,$AA$42,$AA$48,$AA$54,$AA$60,$AA$66,$AA$72:$AA$79))*Parameters!$B$37/12</f>
        <v>104629.2138074244</v>
      </c>
      <c r="Y81" s="46">
        <f>(SUM($AA$18:$AA$29)-SUM($AA$36,$AA$42,$AA$48,$AA$54,$AA$60,$AA$66,$AA$72:$AA$79))*Parameters!$B$37/12</f>
        <v>104629.2138074244</v>
      </c>
      <c r="Z81" s="46">
        <f>SUMIF($B$13:$Y$13,"Yes",B81:Y81)</f>
        <v>1464808.993303942</v>
      </c>
      <c r="AA81" s="46">
        <f>SUM(B81:M81)</f>
        <v>1255550.565689093</v>
      </c>
      <c r="AB81" s="46">
        <f>SUM(B81:Y81)</f>
        <v>2511101.131378187</v>
      </c>
    </row>
    <row r="82" spans="1:30">
      <c r="A82" s="16" t="s">
        <v>52</v>
      </c>
      <c r="B82" s="46">
        <f>SUM(B83:B87)</f>
        <v>26368.48932676519</v>
      </c>
      <c r="C82" s="46">
        <f>SUM(C83:C87)</f>
        <v>26368.48932676519</v>
      </c>
      <c r="D82" s="46">
        <f>SUM(D83:D87)</f>
        <v>26368.48932676519</v>
      </c>
      <c r="E82" s="46">
        <f>SUM(E83:E87)</f>
        <v>17867.1986863711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96972.66666666667</v>
      </c>
      <c r="AA82" s="46">
        <f>SUM(B82:M82)</f>
        <v>96972.66666666667</v>
      </c>
      <c r="AB82" s="46">
        <f>SUM(B82:Y82)</f>
        <v>96972.66666666667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26368.48932676519</v>
      </c>
      <c r="C83" s="46">
        <f>IF(Calculations!$E23&gt;COUNT(Output!$B$35:C$35),Calculations!$B23,IF(Calculations!$E23=COUNT(Output!$B$35:C$35),Inputs!$B56-Calculations!$C23*(Calculations!$E23-1)+Calculations!$D23,0))</f>
        <v>26368.48932676519</v>
      </c>
      <c r="D83" s="46">
        <f>IF(Calculations!$E23&gt;COUNT(Output!$B$35:D$35),Calculations!$B23,IF(Calculations!$E23=COUNT(Output!$B$35:D$35),Inputs!$B56-Calculations!$C23*(Calculations!$E23-1)+Calculations!$D23,0))</f>
        <v>26368.48932676519</v>
      </c>
      <c r="E83" s="46">
        <f>IF(Calculations!$E23&gt;COUNT(Output!$B$35:E$35),Calculations!$B23,IF(Calculations!$E23=COUNT(Output!$B$35:E$35),Inputs!$B56-Calculations!$C23*(Calculations!$E23-1)+Calculations!$D23,0))</f>
        <v>17867.1986863711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96972.66666666667</v>
      </c>
      <c r="AA83" s="46">
        <f>SUM(B83:M83)</f>
        <v>96972.66666666667</v>
      </c>
      <c r="AB83" s="46">
        <f>SUM(B83:Y83)</f>
        <v>96972.66666666667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198362.674320183</v>
      </c>
      <c r="C88" s="19">
        <f>SUM(C72:C82,C66,C60,C54,C48,C42,C36)</f>
        <v>199003.0560999373</v>
      </c>
      <c r="D88" s="19">
        <f>SUM(D72:D82,D66,D60,D54,D48,D42,D36)</f>
        <v>211503.0560999373</v>
      </c>
      <c r="E88" s="19">
        <f>SUM(E72:E82,E66,E60,E54,E48,E42,E36)</f>
        <v>189501.7654595432</v>
      </c>
      <c r="F88" s="19">
        <f>SUM(F72:F82,F66,F60,F54,F48,F42,F36)</f>
        <v>180634.5667731721</v>
      </c>
      <c r="G88" s="19">
        <f>SUM(G72:G82,G66,G60,G54,G48,G42,G36)</f>
        <v>171634.5667731721</v>
      </c>
      <c r="H88" s="19">
        <f>SUM(H72:H82,H66,H60,H54,H48,H42,H36)</f>
        <v>171994.1849934178</v>
      </c>
      <c r="I88" s="19">
        <f>SUM(I72:I82,I66,I60,I54,I48,I42,I36)</f>
        <v>168634.5667731721</v>
      </c>
      <c r="J88" s="19">
        <f>SUM(J72:J82,J66,J60,J54,J48,J42,J36)</f>
        <v>185134.5667731721</v>
      </c>
      <c r="K88" s="19">
        <f>SUM(K72:K82,K66,K60,K54,K48,K42,K36)</f>
        <v>171634.5667731721</v>
      </c>
      <c r="L88" s="19">
        <f>SUM(L72:L82,L66,L60,L54,L48,L42,L36)</f>
        <v>180634.5667731721</v>
      </c>
      <c r="M88" s="19">
        <f>SUM(M72:M82,M66,M60,M54,M48,M42,M36)</f>
        <v>171634.5667731721</v>
      </c>
      <c r="N88" s="19">
        <f>SUM(N72:N82,N66,N60,N54,N48,N42,N36)</f>
        <v>171994.1849934178</v>
      </c>
      <c r="O88" s="19">
        <f>SUM(O72:O82,O66,O60,O54,O48,O42,O36)</f>
        <v>172634.5667731721</v>
      </c>
      <c r="P88" s="19">
        <f>SUM(P72:P82,P66,P60,P54,P48,P42,P36)</f>
        <v>185134.5667731721</v>
      </c>
      <c r="Q88" s="19">
        <f>SUM(Q72:Q82,Q66,Q60,Q54,Q48,Q42,Q36)</f>
        <v>171634.5667731721</v>
      </c>
      <c r="R88" s="19">
        <f>SUM(R72:R82,R66,R60,R54,R48,R42,R36)</f>
        <v>180634.5667731721</v>
      </c>
      <c r="S88" s="19">
        <f>SUM(S72:S82,S66,S60,S54,S48,S42,S36)</f>
        <v>171634.5667731721</v>
      </c>
      <c r="T88" s="19">
        <f>SUM(T72:T82,T66,T60,T54,T48,T42,T36)</f>
        <v>171994.1849934178</v>
      </c>
      <c r="U88" s="19">
        <f>SUM(U72:U82,U66,U60,U54,U48,U42,U36)</f>
        <v>168634.5667731721</v>
      </c>
      <c r="V88" s="19">
        <f>SUM(V72:V82,V66,V60,V54,V48,V42,V36)</f>
        <v>185134.5667731721</v>
      </c>
      <c r="W88" s="19">
        <f>SUM(W72:W82,W66,W60,W54,W48,W42,W36)</f>
        <v>171634.5667731721</v>
      </c>
      <c r="X88" s="19">
        <f>SUM(X72:X82,X66,X60,X54,X48,X42,X36)</f>
        <v>180634.5667731721</v>
      </c>
      <c r="Y88" s="19">
        <f>SUM(Y72:Y82,Y66,Y60,Y54,Y48,Y42,Y36)</f>
        <v>171634.5667731721</v>
      </c>
      <c r="Z88" s="19">
        <f>SUMIF($B$13:$Y$13,"Yes",B88:Y88)</f>
        <v>2544935.456151813</v>
      </c>
      <c r="AA88" s="19">
        <f>SUM(B88:M88)</f>
        <v>2200306.704385223</v>
      </c>
      <c r="AB88" s="19">
        <f>SUM(B88:Y88)</f>
        <v>4303640.742103779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5022083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1685000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60500000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74207083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80106</v>
      </c>
    </row>
    <row r="105" spans="1:30">
      <c r="A105" t="s">
        <v>70</v>
      </c>
      <c r="B105" s="36">
        <f>SUM(Inputs!B56:B60)</f>
        <v>80106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360212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20</v>
      </c>
      <c r="N8" s="154">
        <v>1</v>
      </c>
    </row>
    <row r="9" spans="1:48">
      <c r="A9" s="143" t="s">
        <v>100</v>
      </c>
      <c r="B9" s="16"/>
      <c r="C9" s="143">
        <v>3</v>
      </c>
      <c r="D9" s="16"/>
      <c r="E9" s="147" t="s">
        <v>101</v>
      </c>
      <c r="F9" s="149" t="s">
        <v>91</v>
      </c>
      <c r="G9" s="147"/>
      <c r="H9" s="147" t="s">
        <v>92</v>
      </c>
      <c r="I9" s="147" t="s">
        <v>98</v>
      </c>
      <c r="J9" s="148" t="s">
        <v>102</v>
      </c>
      <c r="K9" s="138"/>
      <c r="L9" s="16"/>
      <c r="M9" s="165">
        <v>20</v>
      </c>
      <c r="N9" s="154">
        <v>6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5</v>
      </c>
      <c r="D19" s="145">
        <v>5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/>
      <c r="L19" s="25"/>
    </row>
    <row r="20" spans="1:48">
      <c r="A20" s="143" t="s">
        <v>118</v>
      </c>
      <c r="B20" s="16"/>
      <c r="C20" s="143">
        <v>100</v>
      </c>
      <c r="D20" s="147">
        <v>100</v>
      </c>
      <c r="E20" s="16"/>
      <c r="F20" s="147" t="s">
        <v>92</v>
      </c>
      <c r="G20" s="16"/>
      <c r="H20" s="16"/>
      <c r="I20" s="147" t="s">
        <v>119</v>
      </c>
      <c r="J20" s="147">
        <v>5</v>
      </c>
      <c r="K20" s="147">
        <v>5</v>
      </c>
      <c r="L20" s="30">
        <v>3</v>
      </c>
    </row>
    <row r="21" spans="1:48">
      <c r="A21" s="144" t="s">
        <v>120</v>
      </c>
      <c r="B21" s="23"/>
      <c r="C21" s="144">
        <v>32</v>
      </c>
      <c r="D21" s="150">
        <v>10</v>
      </c>
      <c r="E21" s="23"/>
      <c r="F21" s="150" t="s">
        <v>92</v>
      </c>
      <c r="G21" s="23"/>
      <c r="H21" s="23"/>
      <c r="I21" s="150" t="s">
        <v>119</v>
      </c>
      <c r="J21" s="150"/>
      <c r="K21" s="150"/>
      <c r="L21" s="31"/>
    </row>
    <row r="23" spans="1:48">
      <c r="A23" s="3" t="s">
        <v>121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122</v>
      </c>
      <c r="B25" s="177">
        <v>50</v>
      </c>
    </row>
    <row r="27" spans="1:48">
      <c r="A27" s="14" t="s">
        <v>123</v>
      </c>
    </row>
    <row r="29" spans="1:48">
      <c r="A29" s="45" t="s">
        <v>124</v>
      </c>
      <c r="B29" s="156" t="s">
        <v>125</v>
      </c>
    </row>
    <row r="30" spans="1:48">
      <c r="A30" s="44" t="s">
        <v>126</v>
      </c>
      <c r="B30" s="157">
        <v>80000</v>
      </c>
    </row>
    <row r="31" spans="1:48">
      <c r="A31" s="5" t="s">
        <v>127</v>
      </c>
      <c r="B31" s="158">
        <v>30000</v>
      </c>
    </row>
    <row r="33" spans="1:48">
      <c r="A33" s="14" t="s">
        <v>128</v>
      </c>
    </row>
    <row r="34" spans="1:48">
      <c r="A34" s="10" t="s">
        <v>129</v>
      </c>
      <c r="B34" s="10" t="s">
        <v>130</v>
      </c>
      <c r="C34" s="10" t="s">
        <v>131</v>
      </c>
      <c r="D34" s="48" t="s">
        <v>132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134</v>
      </c>
      <c r="B40" s="160" t="s">
        <v>92</v>
      </c>
    </row>
    <row r="41" spans="1:48">
      <c r="A41" s="55" t="s">
        <v>135</v>
      </c>
      <c r="B41" s="140"/>
    </row>
    <row r="42" spans="1:48">
      <c r="A42" s="55" t="s">
        <v>136</v>
      </c>
      <c r="B42" s="139"/>
    </row>
    <row r="43" spans="1:48">
      <c r="A43" s="55" t="s">
        <v>137</v>
      </c>
      <c r="B43" s="160" t="s">
        <v>138</v>
      </c>
    </row>
    <row r="44" spans="1:48">
      <c r="A44" s="56" t="s">
        <v>139</v>
      </c>
      <c r="B44" s="160" t="s">
        <v>92</v>
      </c>
    </row>
    <row r="45" spans="1:48">
      <c r="A45" s="56" t="s">
        <v>140</v>
      </c>
      <c r="B45" s="161">
        <v>1500000</v>
      </c>
    </row>
    <row r="46" spans="1:48" customHeight="1" ht="30">
      <c r="A46" s="57" t="s">
        <v>141</v>
      </c>
      <c r="B46" s="161">
        <v>200000</v>
      </c>
    </row>
    <row r="47" spans="1:48" customHeight="1" ht="30">
      <c r="A47" s="57" t="s">
        <v>142</v>
      </c>
      <c r="B47" s="161">
        <v>300000</v>
      </c>
    </row>
    <row r="48" spans="1:48" customHeight="1" ht="30">
      <c r="A48" s="57" t="s">
        <v>143</v>
      </c>
      <c r="B48" s="161">
        <v>5000000</v>
      </c>
    </row>
    <row r="49" spans="1:48" customHeight="1" ht="30">
      <c r="A49" s="57" t="s">
        <v>144</v>
      </c>
      <c r="B49" s="161">
        <v>5022083</v>
      </c>
    </row>
    <row r="50" spans="1:48">
      <c r="A50" s="43"/>
      <c r="B50" s="36"/>
    </row>
    <row r="51" spans="1:48">
      <c r="A51" s="58" t="s">
        <v>145</v>
      </c>
      <c r="B51" s="161">
        <v>80106</v>
      </c>
    </row>
    <row r="52" spans="1:48">
      <c r="A52" s="43"/>
    </row>
    <row r="53" spans="1:48">
      <c r="A53" s="3" t="s">
        <v>146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147</v>
      </c>
      <c r="B55" s="10" t="s">
        <v>148</v>
      </c>
      <c r="C55" s="10" t="s">
        <v>149</v>
      </c>
      <c r="D55" s="10" t="s">
        <v>150</v>
      </c>
      <c r="E55" s="10" t="s">
        <v>151</v>
      </c>
      <c r="F55" s="10" t="s">
        <v>152</v>
      </c>
    </row>
    <row r="56" spans="1:48">
      <c r="A56" s="159">
        <v>230000</v>
      </c>
      <c r="B56" s="159">
        <v>80106</v>
      </c>
      <c r="C56" s="162" t="s">
        <v>153</v>
      </c>
      <c r="D56" s="163" t="s">
        <v>154</v>
      </c>
      <c r="E56" s="163" t="s">
        <v>92</v>
      </c>
      <c r="F56" s="163" t="s">
        <v>155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132</v>
      </c>
      <c r="B65" s="10" t="s">
        <v>157</v>
      </c>
      <c r="C65" s="10" t="s">
        <v>158</v>
      </c>
    </row>
    <row r="66" spans="1:48">
      <c r="A66" s="142" t="s">
        <v>159</v>
      </c>
      <c r="B66" s="159">
        <v>759083</v>
      </c>
      <c r="C66" s="163">
        <v>537857</v>
      </c>
      <c r="D66" s="49">
        <f>INDEX(Parameters!$D$79:$D$90,MATCH(Inputs!A66,Parameters!$C$79:$C$90,0))</f>
        <v>2</v>
      </c>
    </row>
    <row r="67" spans="1:48">
      <c r="A67" s="143" t="s">
        <v>102</v>
      </c>
      <c r="B67" s="157">
        <v>1019000</v>
      </c>
      <c r="C67" s="165">
        <v>555743</v>
      </c>
      <c r="D67" s="49">
        <f>INDEX(Parameters!$D$79:$D$90,MATCH(Inputs!A67,Parameters!$C$79:$C$90,0))</f>
        <v>3</v>
      </c>
    </row>
    <row r="68" spans="1:48">
      <c r="A68" s="143" t="s">
        <v>160</v>
      </c>
      <c r="B68" s="157">
        <v>931000</v>
      </c>
      <c r="C68" s="165">
        <v>422116</v>
      </c>
      <c r="D68" s="49">
        <f>INDEX(Parameters!$D$79:$D$90,MATCH(Inputs!A68,Parameters!$C$79:$C$90,0))</f>
        <v>4</v>
      </c>
    </row>
    <row r="69" spans="1:48">
      <c r="A69" s="143" t="s">
        <v>161</v>
      </c>
      <c r="B69" s="157">
        <v>834000</v>
      </c>
      <c r="C69" s="165">
        <v>816795</v>
      </c>
      <c r="D69" s="49">
        <f>INDEX(Parameters!$D$79:$D$90,MATCH(Inputs!A69,Parameters!$C$79:$C$90,0))</f>
        <v>5</v>
      </c>
    </row>
    <row r="70" spans="1:48">
      <c r="A70" s="143" t="s">
        <v>161</v>
      </c>
      <c r="B70" s="157">
        <v>814000</v>
      </c>
      <c r="C70" s="165">
        <v>420738</v>
      </c>
      <c r="D70" s="49">
        <f>INDEX(Parameters!$D$79:$D$90,MATCH(Inputs!A70,Parameters!$C$79:$C$90,0))</f>
        <v>5</v>
      </c>
    </row>
    <row r="71" spans="1:48">
      <c r="A71" s="144" t="s">
        <v>162</v>
      </c>
      <c r="B71" s="158">
        <v>665000</v>
      </c>
      <c r="C71" s="167">
        <v>378428</v>
      </c>
      <c r="D71" s="49">
        <f>INDEX(Parameters!$D$79:$D$90,MATCH(Inputs!A71,Parameters!$C$79:$C$90,0))</f>
        <v>6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4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200000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15202.4572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287326.44108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42917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3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287.6945761965671</v>
      </c>
      <c r="M6" s="30">
        <f>L6*H6</f>
        <v>863.0837285897014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33832.8821607163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7500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9000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359.6182202457089</v>
      </c>
      <c r="AB6" s="34">
        <f>H6*IFERROR(INDEX(Parameters!$A$3:$AI$17,MATCH(Calculations!A6,Parameters!$A$3:$A$17,0),MATCH(Parameters!$O$3,Parameters!$A$3:$AI$3,0)),AVERAGE(Parameters!$O$4:$O$17))*(1-Inputs!$B$25/100)</f>
        <v>30000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1300312.5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100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135571.4285714286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853.3333333333334</v>
      </c>
      <c r="S15" s="64">
        <f>IFERROR(D15*INDEX(Parameters!$A$22:$P$29,MATCH(Calculations!$A15,Parameters!$A$22:$A$29,0),MATCH(Parameters!$N$22,Parameters!$A$22:$P$22,0)),"")</f>
        <v>6860.902255639096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32</v>
      </c>
      <c r="E16" s="16">
        <f>Inputs!D21</f>
        <v>10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66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1267200</v>
      </c>
      <c r="Q16" s="64">
        <f>IFERROR(D16*INDEX(Parameters!$A$22:$P$29,MATCH(Calculations!$A16,Parameters!$A$22:$A$29,0),MATCH(Parameters!$L$22,Parameters!$A$22:$P$22,0))*IF(Inputs!I21="Always",1,IF(Inputs!I21="Sometimes",0.5,0))*365,"")</f>
        <v>175200</v>
      </c>
      <c r="R16" s="64">
        <f>IFERROR(D16*INDEX(Parameters!$A$22:$P$29,MATCH(Calculations!$A16,Parameters!$A$22:$A$29,0),MATCH(Parameters!$M$22,Parameters!$A$22:$P$22,0)),"")</f>
        <v>6400</v>
      </c>
      <c r="S16" s="64">
        <f>IFERROR(D16*INDEX(Parameters!$A$22:$P$29,MATCH(Calculations!$A16,Parameters!$A$22:$A$29,0),MATCH(Parameters!$N$22,Parameters!$A$22:$P$22,0)),"")</f>
        <v>64000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147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230000</v>
      </c>
      <c r="B23" s="75">
        <f>SUM(C23:D23)</f>
        <v>26368.48932676519</v>
      </c>
      <c r="C23" s="75">
        <f>IF(Inputs!B56&gt;0,(Inputs!A56-Inputs!B56)/(DATE(YEAR(Inputs!$B$76),MONTH(Inputs!$B$76),DAY(Inputs!$B$76))-DATE(YEAR(Inputs!C56),MONTH(Inputs!C56),DAY(Inputs!C56)))*30,0)</f>
        <v>22151.82266009852</v>
      </c>
      <c r="D23" s="75">
        <f>IF(Inputs!B56&gt;0,Inputs!A56*0.22/12,0)</f>
        <v>4216.666666666667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168</v>
      </c>
      <c r="G33" s="128">
        <f>IF(Inputs!B79="","",DATE(YEAR(Inputs!B79),MONTH(Inputs!B79),DAY(Inputs!B79)))</f>
        <v>42943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170</v>
      </c>
      <c r="G34" s="128">
        <f>IF(Inputs!B80="","",DATE(YEAR(Inputs!B80),MONTH(Inputs!B80),DAY(Inputs!B80)))</f>
        <v>42986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172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43198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236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237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43289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100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118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120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104</v>
      </c>
      <c r="B41" s="191" t="s">
        <v>318</v>
      </c>
      <c r="C41" s="191" t="s">
        <v>92</v>
      </c>
    </row>
    <row r="42" spans="1:36">
      <c r="A42" t="s">
        <v>118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120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320</v>
      </c>
      <c r="H52" s="12" t="s">
        <v>321</v>
      </c>
      <c r="I52" s="12" t="s">
        <v>138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238</v>
      </c>
      <c r="E53" s="10" t="s">
        <v>197</v>
      </c>
      <c r="F53" s="10" t="s">
        <v>257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175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234</v>
      </c>
      <c r="J76" s="11" t="s">
        <v>354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321</v>
      </c>
      <c r="I77" s="12" t="s">
        <v>357</v>
      </c>
      <c r="J77" s="136" t="s">
        <v>101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358</v>
      </c>
      <c r="D78" s="133"/>
      <c r="E78" s="12" t="s">
        <v>91</v>
      </c>
      <c r="F78" s="12" t="s">
        <v>359</v>
      </c>
      <c r="G78" s="12" t="s">
        <v>119</v>
      </c>
      <c r="H78" s="12" t="s">
        <v>138</v>
      </c>
      <c r="I78" s="12" t="s">
        <v>360</v>
      </c>
      <c r="J78" s="70" t="s">
        <v>361</v>
      </c>
      <c r="K78" s="12" t="s">
        <v>318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93</v>
      </c>
      <c r="G79" s="12" t="s">
        <v>117</v>
      </c>
      <c r="I79" s="12" t="s">
        <v>175</v>
      </c>
      <c r="J79" s="70" t="s">
        <v>90</v>
      </c>
      <c r="K79" s="12" t="s">
        <v>318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364</v>
      </c>
      <c r="F80" s="12" t="s">
        <v>98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102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99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