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<sst xmlns="http://schemas.openxmlformats.org/spreadsheetml/2006/main" uniqueCount="370">
  <si>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</si>
  <si>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</si>
  <si>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</si>
  <si>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</si>
  <si>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</si>
  <si>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</si>
  <si>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</si>
  <si>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</si>
  <si>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</si>
  <si>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</si>
  <si>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</si>
  <si>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</si>
  <si>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</si>
  <si>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</si>
  <si>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</si>
  <si>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</si>
  <si>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</si>
  <si>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</si>
  <si>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</si>
  <si>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</si>
  <si>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</si>
  <si>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</si>
  <si>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</si>
  <si>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</si>
  <si>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</si>
  <si>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</si>
  <si>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</si>
  <si>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</si>
  <si>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</si>
  <si>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</si>
  <si>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</si>
  <si>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</si>
  <si>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</si>
  <si>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</si>
  <si>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</si>
  <si>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</si>
  <si>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</si>
  <si>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</si>
  <si>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</si>
  <si>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</si>
  <si>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</si>
  <si>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</si>
  <si>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</si>
  <si>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</si>
  <si>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</si>
  <si>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</si>
  <si>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</si>
  <si>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</si>
  <si>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</si>
  <si>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</si>
  <si>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</si>
  <si>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</si>
  <si>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</si>
  <si>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</si>
  <si>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</si>
  <si>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</si>
  <si>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</si>
  <si>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</si>
  <si>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</si>
  <si>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</si>
  <si>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</si>
  <si>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</si>
  <si>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</si>
  <si>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</si>
  <si>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</si>
  <si>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</si>
  <si>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</si>
  <si>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</si>
  <si>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</si>
  <si>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</si>
  <si>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</si>
  <si>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</si>
  <si>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</si>
  <si>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</si>
  <si>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</si>
  <si>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</si>
  <si>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</si>
  <si>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</si>
  <si>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</si>
  <si>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</si>
  <si>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</si>
  <si>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</si>
  <si>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</si>
  <si>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</si>
  <si>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</si>
  <si>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</si>
  <si>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</si>
  <si>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</si>
  <si>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</si>
  <si>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Coffee</t>
  </si>
  <si>
    <t>Home recycled</t>
  </si>
  <si>
    <t>Yes both manure and inorganic</t>
  </si>
  <si>
    <t>Yes</t>
  </si>
  <si>
    <t>No</t>
  </si>
  <si>
    <t>no planting_trees are mature</t>
  </si>
  <si>
    <t>Tea</t>
  </si>
  <si>
    <t>Shop_certified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</si>
  <si>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</si>
  <si>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</si>
  <si>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</si>
  <si>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</si>
  <si>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</si>
  <si>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</si>
  <si>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</si>
  <si>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</si>
  <si>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</si>
  <si>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</si>
  <si>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</si>
  <si>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</si>
  <si>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</si>
  <si>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Goat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</si>
  <si>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</si>
  <si>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</si>
  <si>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</si>
  <si>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</si>
  <si>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</si>
  <si>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whole sale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</si>
  <si>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</si>
  <si>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</si>
  <si>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</si>
  <si>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</si>
  <si>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</si>
  <si>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</si>
  <si>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</si>
  <si>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</si>
  <si>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</si>
  <si>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</si>
  <si>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</si>
  <si>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</si>
  <si>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</si>
  <si>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</si>
  <si>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</si>
  <si>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</si>
  <si>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</si>
  <si>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</si>
  <si>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</si>
  <si>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</si>
  <si>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</si>
  <si>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</si>
  <si>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</si>
  <si>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</si>
  <si>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</si>
  <si>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</si>
  <si>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</si>
  <si>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12/1/2016</t>
  </si>
  <si>
    <t>Nawiri Sacco</t>
  </si>
  <si>
    <t>Timely paid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</si>
  <si>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</si>
  <si>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</si>
  <si>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</si>
  <si>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</si>
  <si>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</si>
  <si>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</si>
  <si>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</si>
  <si>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</si>
  <si>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</si>
  <si>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</si>
  <si>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</si>
  <si>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</si>
  <si>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2017/7/25</t>
  </si>
  <si>
    <t>Loan terms</t>
  </si>
  <si>
    <t>Expected disbursement date</t>
  </si>
  <si>
    <t>2017/7/27</t>
  </si>
  <si>
    <t>Expected first repayment date</t>
  </si>
  <si>
    <t>2017/9/5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</si>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</sst>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September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Coffee, Tea,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Goat</v>
      </c>
    </row>
    <row r="8" spans="1:7">
      <c r="B8" s="1" t="s">
        <v>4</v>
      </c>
      <c r="C8" t="str">
        <f>IF(Inputs!B29="","None",Inputs!B29)</f>
        <v>whole sale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0.6818157375985909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2018</v>
      </c>
    </row>
    <row r="13" spans="1:7">
      <c r="B13" s="1" t="s">
        <v>8</v>
      </c>
      <c r="C13" s="67">
        <f>IFERROR(Output!B107/Output!B101,"")</f>
        <v>0.07024793388429752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133163.7011418874</v>
      </c>
    </row>
    <row r="18" spans="1:7">
      <c r="B18" s="1" t="s">
        <v>12</v>
      </c>
      <c r="C18" s="36">
        <f>MIN(Output!B6:M6)</f>
        <v>8343.827025681116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30939.19998328892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80000</v>
      </c>
    </row>
    <row r="25" spans="1:7">
      <c r="B25" s="1" t="s">
        <v>18</v>
      </c>
      <c r="C25" s="36">
        <f>MAX(Inputs!A56:A60)</f>
        <v>80000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9879.474654520258</v>
      </c>
      <c r="C6" s="51">
        <f>C30-C88</f>
        <v>8958.086077216773</v>
      </c>
      <c r="D6" s="51">
        <f>D30-D88</f>
        <v>8343.827025681116</v>
      </c>
      <c r="E6" s="51">
        <f>E30-E88</f>
        <v>8958.086077216773</v>
      </c>
      <c r="F6" s="51">
        <f>F30-F88</f>
        <v>9572.345128752429</v>
      </c>
      <c r="G6" s="51">
        <f>G30-G88</f>
        <v>9879.474654520258</v>
      </c>
      <c r="H6" s="51">
        <f>H30-H88</f>
        <v>30939.19998328892</v>
      </c>
      <c r="I6" s="51">
        <f>I30-I88</f>
        <v>9879.474654520258</v>
      </c>
      <c r="J6" s="51">
        <f>J30-J88</f>
        <v>9572.345128752429</v>
      </c>
      <c r="K6" s="51">
        <f>K30-K88</f>
        <v>8958.086077216773</v>
      </c>
      <c r="L6" s="51">
        <f>L30-L88</f>
        <v>8343.827025681116</v>
      </c>
      <c r="M6" s="51">
        <f>M30-M88</f>
        <v>9879.474654520258</v>
      </c>
      <c r="N6" s="51">
        <f>N30-N88</f>
        <v>9879.474654520258</v>
      </c>
      <c r="O6" s="51">
        <f>O30-O88</f>
        <v>8958.086077216773</v>
      </c>
      <c r="P6" s="51">
        <f>P30-P88</f>
        <v>8343.827025681116</v>
      </c>
      <c r="Q6" s="51">
        <f>Q30-Q88</f>
        <v>8958.086077216773</v>
      </c>
      <c r="R6" s="51">
        <f>R30-R88</f>
        <v>9572.345128752429</v>
      </c>
      <c r="S6" s="51">
        <f>S30-S88</f>
        <v>9879.474654520258</v>
      </c>
      <c r="T6" s="51">
        <f>T30-T88</f>
        <v>30939.19998328892</v>
      </c>
      <c r="U6" s="51">
        <f>U30-U88</f>
        <v>9879.474654520258</v>
      </c>
      <c r="V6" s="51">
        <f>V30-V88</f>
        <v>9572.345128752429</v>
      </c>
      <c r="W6" s="51">
        <f>W30-W88</f>
        <v>8958.086077216773</v>
      </c>
      <c r="X6" s="51">
        <f>X30-X88</f>
        <v>8343.827025681116</v>
      </c>
      <c r="Y6" s="51">
        <f>Y30-Y88</f>
        <v>9879.474654520258</v>
      </c>
      <c r="Z6" s="51">
        <f>SUMIF($B$13:$Y$13,"Yes",B6:Y6)</f>
        <v>152001.2618736244</v>
      </c>
      <c r="AA6" s="51">
        <f>AA30-AA88</f>
        <v>133163.7011418875</v>
      </c>
      <c r="AB6" s="51">
        <f>AB30-AB88</f>
        <v>266327.4022837747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78640</v>
      </c>
      <c r="I7" s="80">
        <f>IF(ISERROR(VLOOKUP(MONTH(I5),Inputs!$D$66:$D$71,1,0)),"",INDEX(Inputs!$B$66:$B$71,MATCH(MONTH(Output!I5),Inputs!$D$66:$D$71,0))-INDEX(Inputs!$C$66:$C$71,MATCH(MONTH(Output!I5),Inputs!$D$66:$D$71,0)))</f>
        <v>23517</v>
      </c>
      <c r="J7" s="80">
        <f>IF(ISERROR(VLOOKUP(MONTH(J5),Inputs!$D$66:$D$71,1,0)),"",INDEX(Inputs!$B$66:$B$71,MATCH(MONTH(Output!J5),Inputs!$D$66:$D$71,0))-INDEX(Inputs!$C$66:$C$71,MATCH(MONTH(Output!J5),Inputs!$D$66:$D$71,0)))</f>
        <v>28000</v>
      </c>
      <c r="K7" s="80">
        <f>IF(ISERROR(VLOOKUP(MONTH(K5),Inputs!$D$66:$D$71,1,0)),"",INDEX(Inputs!$B$66:$B$71,MATCH(MONTH(Output!K5),Inputs!$D$66:$D$71,0))-INDEX(Inputs!$C$66:$C$71,MATCH(MONTH(Output!K5),Inputs!$D$66:$D$71,0)))</f>
        <v>24454</v>
      </c>
      <c r="L7" s="80">
        <f>IF(ISERROR(VLOOKUP(MONTH(L5),Inputs!$D$66:$D$71,1,0)),"",INDEX(Inputs!$B$66:$B$71,MATCH(MONTH(Output!L5),Inputs!$D$66:$D$71,0))-INDEX(Inputs!$C$66:$C$71,MATCH(MONTH(Output!L5),Inputs!$D$66:$D$71,0)))</f>
        <v>39509</v>
      </c>
      <c r="M7" s="80">
        <f>IF(ISERROR(VLOOKUP(MONTH(M5),Inputs!$D$66:$D$71,1,0)),"",INDEX(Inputs!$B$66:$B$71,MATCH(MONTH(Output!M5),Inputs!$D$66:$D$71,0))-INDEX(Inputs!$C$66:$C$71,MATCH(MONTH(Output!M5),Inputs!$D$66:$D$71,0)))</f>
        <v>46428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78640</v>
      </c>
      <c r="U7" s="80">
        <f>IF(ISERROR(VLOOKUP(MONTH(U5),Inputs!$D$66:$D$71,1,0)),"",INDEX(Inputs!$B$66:$B$71,MATCH(MONTH(Output!U5),Inputs!$D$66:$D$71,0))-INDEX(Inputs!$C$66:$C$71,MATCH(MONTH(Output!U5),Inputs!$D$66:$D$71,0)))</f>
        <v>23517</v>
      </c>
      <c r="V7" s="80">
        <f>IF(ISERROR(VLOOKUP(MONTH(V5),Inputs!$D$66:$D$71,1,0)),"",INDEX(Inputs!$B$66:$B$71,MATCH(MONTH(Output!V5),Inputs!$D$66:$D$71,0))-INDEX(Inputs!$C$66:$C$71,MATCH(MONTH(Output!V5),Inputs!$D$66:$D$71,0)))</f>
        <v>28000</v>
      </c>
      <c r="W7" s="80">
        <f>IF(ISERROR(VLOOKUP(MONTH(W5),Inputs!$D$66:$D$71,1,0)),"",INDEX(Inputs!$B$66:$B$71,MATCH(MONTH(Output!W5),Inputs!$D$66:$D$71,0))-INDEX(Inputs!$C$66:$C$71,MATCH(MONTH(Output!W5),Inputs!$D$66:$D$71,0)))</f>
        <v>24454</v>
      </c>
      <c r="X7" s="80">
        <f>IF(ISERROR(VLOOKUP(MONTH(X5),Inputs!$D$66:$D$71,1,0)),"",INDEX(Inputs!$B$66:$B$71,MATCH(MONTH(Output!X5),Inputs!$D$66:$D$71,0))-INDEX(Inputs!$C$66:$C$71,MATCH(MONTH(Output!X5),Inputs!$D$66:$D$71,0)))</f>
        <v>39509</v>
      </c>
      <c r="Y7" s="80">
        <f>IF(ISERROR(VLOOKUP(MONTH(Y5),Inputs!$D$66:$D$71,1,0)),"",INDEX(Inputs!$B$66:$B$71,MATCH(MONTH(Output!Y5),Inputs!$D$66:$D$71,0))-INDEX(Inputs!$C$66:$C$71,MATCH(MONTH(Output!Y5),Inputs!$D$66:$D$71,0)))</f>
        <v>46428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20000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200000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209879.4746545203</v>
      </c>
      <c r="C11" s="80">
        <f>C6+C9-C10</f>
        <v>8958.086077216773</v>
      </c>
      <c r="D11" s="80">
        <f>D6+D9-D10</f>
        <v>-11656.17297431888</v>
      </c>
      <c r="E11" s="80">
        <f>E6+E9-E10</f>
        <v>-11041.91392278323</v>
      </c>
      <c r="F11" s="80">
        <f>F6+F9-F10</f>
        <v>-10427.65487124757</v>
      </c>
      <c r="G11" s="80">
        <f>G6+G9-G10</f>
        <v>-10120.52534547974</v>
      </c>
      <c r="H11" s="80">
        <f>H6+H9-H10</f>
        <v>10939.19998328892</v>
      </c>
      <c r="I11" s="80">
        <f>I6+I9-I10</f>
        <v>-10120.52534547974</v>
      </c>
      <c r="J11" s="80">
        <f>J6+J9-J10</f>
        <v>-10427.65487124757</v>
      </c>
      <c r="K11" s="80">
        <f>K6+K9-K10</f>
        <v>-11041.91392278323</v>
      </c>
      <c r="L11" s="80">
        <f>L6+L9-L10</f>
        <v>-11656.17297431888</v>
      </c>
      <c r="M11" s="80">
        <f>M6+M9-M10</f>
        <v>-10120.52534547974</v>
      </c>
      <c r="N11" s="80">
        <f>N6+N9-N10</f>
        <v>-10120.52534547974</v>
      </c>
      <c r="O11" s="80">
        <f>O6+O9-O10</f>
        <v>-11041.91392278323</v>
      </c>
      <c r="P11" s="80">
        <f>P6+P9-P10</f>
        <v>8343.827025681116</v>
      </c>
      <c r="Q11" s="80">
        <f>Q6+Q9-Q10</f>
        <v>8958.086077216773</v>
      </c>
      <c r="R11" s="80">
        <f>R6+R9-R10</f>
        <v>9572.345128752429</v>
      </c>
      <c r="S11" s="80">
        <f>S6+S9-S10</f>
        <v>9879.474654520258</v>
      </c>
      <c r="T11" s="80">
        <f>T6+T9-T10</f>
        <v>30939.19998328892</v>
      </c>
      <c r="U11" s="80">
        <f>U6+U9-U10</f>
        <v>9879.474654520258</v>
      </c>
      <c r="V11" s="80">
        <f>V6+V9-V10</f>
        <v>9572.345128752429</v>
      </c>
      <c r="W11" s="80">
        <f>W6+W9-W10</f>
        <v>8958.086077216773</v>
      </c>
      <c r="X11" s="80">
        <f>X6+X9-X10</f>
        <v>8343.827025681116</v>
      </c>
      <c r="Y11" s="80">
        <f>Y6+Y9-Y10</f>
        <v>9879.474654520258</v>
      </c>
      <c r="Z11" s="85">
        <f>SUMIF($B$13:$Y$13,"Yes",B11:Y11)</f>
        <v>112001.2618736244</v>
      </c>
      <c r="AA11" s="80">
        <f>SUM(B11:M11)</f>
        <v>133163.7011418874</v>
      </c>
      <c r="AB11" s="46">
        <f>SUM(B11:Y11)</f>
        <v>226327.4022837747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0.08803538087968626</v>
      </c>
      <c r="E12" s="82">
        <f>IF(E13="Yes",IF(SUM($B$10:E10)/(SUM($B$6:E6)+SUM($B$9:E9))&lt;0,999.99,SUM($B$10:E10)/(SUM($B$6:E6)+SUM($B$9:E9))),"")</f>
        <v>0.1693914166507012</v>
      </c>
      <c r="F12" s="82">
        <f>IF(F13="Yes",IF(SUM($B$10:F10)/(SUM($B$6:F6)+SUM($B$9:F9))&lt;0,999.99,SUM($B$10:F10)/(SUM($B$6:F6)+SUM($B$9:F9))),"")</f>
        <v>0.2441884979449865</v>
      </c>
      <c r="G12" s="82">
        <f>IF(G13="Yes",IF(SUM($B$10:G10)/(SUM($B$6:G6)+SUM($B$9:G9))&lt;0,999.99,SUM($B$10:G10)/(SUM($B$6:G6)+SUM($B$9:G9))),"")</f>
        <v>0.3129997069446145</v>
      </c>
      <c r="H12" s="82">
        <f>IF(H13="Yes",IF(SUM($B$10:H10)/(SUM($B$6:H6)+SUM($B$9:H9))&lt;0,999.99,SUM($B$10:H10)/(SUM($B$6:H6)+SUM($B$9:H9))),"")</f>
        <v>0.3490029935144829</v>
      </c>
      <c r="I12" s="82">
        <f>IF(I13="Yes",IF(SUM($B$10:I10)/(SUM($B$6:I6)+SUM($B$9:I9))&lt;0,999.99,SUM($B$10:I10)/(SUM($B$6:I6)+SUM($B$9:I9))),"")</f>
        <v>0.4048446842262552</v>
      </c>
      <c r="J12" s="82">
        <f>IF(J13="Yes",IF(SUM($B$10:J10)/(SUM($B$6:J6)+SUM($B$9:J9))&lt;0,999.99,SUM($B$10:J10)/(SUM($B$6:J6)+SUM($B$9:J9))),"")</f>
        <v>0.4575427855664614</v>
      </c>
      <c r="K12" s="82">
        <f>IF(K13="Yes",IF(SUM($B$10:K10)/(SUM($B$6:K6)+SUM($B$9:K9))&lt;0,999.99,SUM($B$10:K10)/(SUM($B$6:K6)+SUM($B$9:K9))),"")</f>
        <v>0.5080326318042432</v>
      </c>
      <c r="L12" s="82">
        <f>IF(L13="Yes",IF(SUM($B$10:L10)/(SUM($B$6:L6)+SUM($B$9:L9))&lt;0,999.99,SUM($B$10:L10)/(SUM($B$6:L6)+SUM($B$9:L9))),"")</f>
        <v>0.5567855937661524</v>
      </c>
      <c r="M12" s="82">
        <f>IF(M13="Yes",IF(SUM($B$10:M10)/(SUM($B$6:M6)+SUM($B$9:M9))&lt;0,999.99,SUM($B$10:M10)/(SUM($B$6:M6)+SUM($B$9:M9))),"")</f>
        <v>0.6003054934091522</v>
      </c>
      <c r="N12" s="82">
        <f>IF(N13="Yes",IF(SUM($B$10:N10)/(SUM($B$6:N6)+SUM($B$9:N9))&lt;0,999.99,SUM($B$10:N10)/(SUM($B$6:N6)+SUM($B$9:N9))),"")</f>
        <v>0.641318689664206</v>
      </c>
      <c r="O12" s="82">
        <f>IF(O13="Yes",IF(SUM($B$10:O10)/(SUM($B$6:O6)+SUM($B$9:O9))&lt;0,999.99,SUM($B$10:O10)/(SUM($B$6:O6)+SUM($B$9:O9))),"")</f>
        <v>0.6818157375985909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Coffee</v>
      </c>
      <c r="B18" s="36">
        <f>N18</f>
        <v>1535.647628839142</v>
      </c>
      <c r="C18" s="36">
        <f>O18</f>
        <v>614.2590515356569</v>
      </c>
      <c r="D18" s="36">
        <f>P18</f>
        <v>0</v>
      </c>
      <c r="E18" s="36">
        <f>Q18</f>
        <v>614.2590515356569</v>
      </c>
      <c r="F18" s="36">
        <f>R18</f>
        <v>1228.518103071314</v>
      </c>
      <c r="G18" s="36">
        <f>S18</f>
        <v>1535.647628839142</v>
      </c>
      <c r="H18" s="36">
        <f>T18</f>
        <v>1535.647628839142</v>
      </c>
      <c r="I18" s="36">
        <f>U18</f>
        <v>1535.647628839142</v>
      </c>
      <c r="J18" s="36">
        <f>V18</f>
        <v>1228.518103071314</v>
      </c>
      <c r="K18" s="36">
        <f>W18</f>
        <v>614.2590515356569</v>
      </c>
      <c r="L18" s="36">
        <f>X18</f>
        <v>0</v>
      </c>
      <c r="M18" s="36">
        <f>Y18</f>
        <v>1535.647628839142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1535.647628839142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614.2590515356569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614.2590515356569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1228.518103071314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1535.647628839142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1535.647628839142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1535.647628839142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1228.518103071314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614.2590515356569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1535.647628839142</v>
      </c>
      <c r="Z18" s="36">
        <f>SUMIF($B$13:$Y$13,"Yes",B18:Y18)</f>
        <v>14127.95818532011</v>
      </c>
      <c r="AA18" s="36">
        <f>SUM(B18:M18)</f>
        <v>11978.05150494531</v>
      </c>
      <c r="AB18" s="36">
        <f>SUM(B18:Y18)</f>
        <v>23956.10300989062</v>
      </c>
      <c r="AC18" s="43"/>
      <c r="AD18" s="43"/>
    </row>
    <row r="19" spans="1:30">
      <c r="A19" t="str">
        <f>IF(Calculations!A5&lt;&gt;Parameters!$A$18,IF(Calculations!A5=0,"",Calculations!A5),Inputs!B8)</f>
        <v>Tea</v>
      </c>
      <c r="B19" s="36">
        <f>N19</f>
        <v>767.8024859446908</v>
      </c>
      <c r="C19" s="36">
        <f>O19</f>
        <v>767.8024859446908</v>
      </c>
      <c r="D19" s="36">
        <f>P19</f>
        <v>767.8024859446908</v>
      </c>
      <c r="E19" s="36">
        <f>Q19</f>
        <v>767.8024859446908</v>
      </c>
      <c r="F19" s="36">
        <f>R19</f>
        <v>767.8024859446908</v>
      </c>
      <c r="G19" s="36">
        <f>S19</f>
        <v>767.8024859446908</v>
      </c>
      <c r="H19" s="36">
        <f>T19</f>
        <v>21827.52781471335</v>
      </c>
      <c r="I19" s="36">
        <f>U19</f>
        <v>767.8024859446908</v>
      </c>
      <c r="J19" s="36">
        <f>V19</f>
        <v>767.8024859446908</v>
      </c>
      <c r="K19" s="36">
        <f>W19</f>
        <v>767.8024859446908</v>
      </c>
      <c r="L19" s="36">
        <f>X19</f>
        <v>767.8024859446908</v>
      </c>
      <c r="M19" s="36">
        <f>Y19</f>
        <v>767.8024859446908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767.8024859446908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767.8024859446908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767.8024859446908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767.8024859446908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767.8024859446908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767.8024859446908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21827.52781471335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767.8024859446908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767.8024859446908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767.8024859446908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767.8024859446908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767.8024859446908</v>
      </c>
      <c r="Z19" s="36">
        <f>SUMIF($B$13:$Y$13,"Yes",B19:Y19)</f>
        <v>31808.96013199434</v>
      </c>
      <c r="AA19" s="36">
        <f>SUM(B19:M19)</f>
        <v>30273.35516010496</v>
      </c>
      <c r="AB19" s="36">
        <f>SUM(B19:Y19)</f>
        <v>60546.7103202099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3000</v>
      </c>
    </row>
    <row r="24" spans="1:30">
      <c r="A24" s="43" t="str">
        <f>IF(Inputs!A19="","",IF(Inputs!A19=Parameters!$A$30,Inputs!B19,Inputs!A19))</f>
        <v>Goat</v>
      </c>
      <c r="B24" s="36">
        <f>IFERROR(Calculations!$P14/12,"")</f>
        <v>416.6666666666667</v>
      </c>
      <c r="C24" s="36">
        <f>IFERROR(Calculations!$P14/12,"")</f>
        <v>416.6666666666667</v>
      </c>
      <c r="D24" s="36">
        <f>IFERROR(Calculations!$P14/12,"")</f>
        <v>416.6666666666667</v>
      </c>
      <c r="E24" s="36">
        <f>IFERROR(Calculations!$P14/12,"")</f>
        <v>416.6666666666667</v>
      </c>
      <c r="F24" s="36">
        <f>IFERROR(Calculations!$P14/12,"")</f>
        <v>416.6666666666667</v>
      </c>
      <c r="G24" s="36">
        <f>IFERROR(Calculations!$P14/12,"")</f>
        <v>416.6666666666667</v>
      </c>
      <c r="H24" s="36">
        <f>IFERROR(Calculations!$P14/12,"")</f>
        <v>416.6666666666667</v>
      </c>
      <c r="I24" s="36">
        <f>IFERROR(Calculations!$P14/12,"")</f>
        <v>416.6666666666667</v>
      </c>
      <c r="J24" s="36">
        <f>IFERROR(Calculations!$P14/12,"")</f>
        <v>416.6666666666667</v>
      </c>
      <c r="K24" s="36">
        <f>IFERROR(Calculations!$P14/12,"")</f>
        <v>416.6666666666667</v>
      </c>
      <c r="L24" s="36">
        <f>IFERROR(Calculations!$P14/12,"")</f>
        <v>416.6666666666667</v>
      </c>
      <c r="M24" s="36">
        <f>IFERROR(Calculations!$P14/12,"")</f>
        <v>416.6666666666667</v>
      </c>
      <c r="N24" s="36">
        <f>IFERROR(Calculations!$P14/12,"")</f>
        <v>416.6666666666667</v>
      </c>
      <c r="O24" s="36">
        <f>IFERROR(Calculations!$P14/12,"")</f>
        <v>416.6666666666667</v>
      </c>
      <c r="P24" s="36">
        <f>IFERROR(Calculations!$P14/12,"")</f>
        <v>416.6666666666667</v>
      </c>
      <c r="Q24" s="36">
        <f>IFERROR(Calculations!$P14/12,"")</f>
        <v>416.6666666666667</v>
      </c>
      <c r="R24" s="36">
        <f>IFERROR(Calculations!$P14/12,"")</f>
        <v>416.6666666666667</v>
      </c>
      <c r="S24" s="36">
        <f>IFERROR(Calculations!$P14/12,"")</f>
        <v>416.6666666666667</v>
      </c>
      <c r="T24" s="36">
        <f>IFERROR(Calculations!$P14/12,"")</f>
        <v>416.6666666666667</v>
      </c>
      <c r="U24" s="36">
        <f>IFERROR(Calculations!$P14/12,"")</f>
        <v>416.6666666666667</v>
      </c>
      <c r="V24" s="36">
        <f>IFERROR(Calculations!$P14/12,"")</f>
        <v>416.6666666666667</v>
      </c>
      <c r="W24" s="36">
        <f>IFERROR(Calculations!$P14/12,"")</f>
        <v>416.6666666666667</v>
      </c>
      <c r="X24" s="36">
        <f>IFERROR(Calculations!$P14/12,"")</f>
        <v>416.6666666666667</v>
      </c>
      <c r="Y24" s="36">
        <f>IFERROR(Calculations!$P14/12,"")</f>
        <v>416.6666666666667</v>
      </c>
      <c r="Z24" s="36">
        <f>SUMIF($B$13:$Y$13,"Yes",B24:Y24)</f>
        <v>5833.333333333334</v>
      </c>
      <c r="AA24" s="36">
        <f>SUM(B24:M24)</f>
        <v>5000</v>
      </c>
      <c r="AB24" s="46">
        <f>SUM(B24:Y24)</f>
        <v>10000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32000</v>
      </c>
      <c r="C29" s="37">
        <f>Inputs!$B$30</f>
        <v>32000</v>
      </c>
      <c r="D29" s="37">
        <f>Inputs!$B$30</f>
        <v>32000</v>
      </c>
      <c r="E29" s="37">
        <f>Inputs!$B$30</f>
        <v>32000</v>
      </c>
      <c r="F29" s="37">
        <f>Inputs!$B$30</f>
        <v>32000</v>
      </c>
      <c r="G29" s="37">
        <f>Inputs!$B$30</f>
        <v>32000</v>
      </c>
      <c r="H29" s="37">
        <f>Inputs!$B$30</f>
        <v>32000</v>
      </c>
      <c r="I29" s="37">
        <f>Inputs!$B$30</f>
        <v>32000</v>
      </c>
      <c r="J29" s="37">
        <f>Inputs!$B$30</f>
        <v>32000</v>
      </c>
      <c r="K29" s="37">
        <f>Inputs!$B$30</f>
        <v>32000</v>
      </c>
      <c r="L29" s="37">
        <f>Inputs!$B$30</f>
        <v>32000</v>
      </c>
      <c r="M29" s="37">
        <f>Inputs!$B$30</f>
        <v>32000</v>
      </c>
      <c r="N29" s="37">
        <f>Inputs!$B$30</f>
        <v>32000</v>
      </c>
      <c r="O29" s="37">
        <f>Inputs!$B$30</f>
        <v>32000</v>
      </c>
      <c r="P29" s="37">
        <f>Inputs!$B$30</f>
        <v>32000</v>
      </c>
      <c r="Q29" s="37">
        <f>Inputs!$B$30</f>
        <v>32000</v>
      </c>
      <c r="R29" s="37">
        <f>Inputs!$B$30</f>
        <v>32000</v>
      </c>
      <c r="S29" s="37">
        <f>Inputs!$B$30</f>
        <v>32000</v>
      </c>
      <c r="T29" s="37">
        <f>Inputs!$B$30</f>
        <v>32000</v>
      </c>
      <c r="U29" s="37">
        <f>Inputs!$B$30</f>
        <v>32000</v>
      </c>
      <c r="V29" s="37">
        <f>Inputs!$B$30</f>
        <v>32000</v>
      </c>
      <c r="W29" s="37">
        <f>Inputs!$B$30</f>
        <v>32000</v>
      </c>
      <c r="X29" s="37">
        <f>Inputs!$B$30</f>
        <v>32000</v>
      </c>
      <c r="Y29" s="37">
        <f>Inputs!$B$30</f>
        <v>32000</v>
      </c>
      <c r="Z29" s="37">
        <f>SUMIF($B$13:$Y$13,"Yes",B29:Y29)</f>
        <v>448000</v>
      </c>
      <c r="AA29" s="37">
        <f>SUM(B29:M29)</f>
        <v>384000</v>
      </c>
      <c r="AB29" s="37">
        <f>SUM(B29:Y29)</f>
        <v>768000</v>
      </c>
    </row>
    <row r="30" spans="1:30" customHeight="1" ht="15.75">
      <c r="A30" s="1" t="s">
        <v>37</v>
      </c>
      <c r="B30" s="19">
        <f>SUM(B18:B29)</f>
        <v>34720.1167814505</v>
      </c>
      <c r="C30" s="19">
        <f>SUM(C18:C29)</f>
        <v>33798.72820414702</v>
      </c>
      <c r="D30" s="19">
        <f>SUM(D18:D29)</f>
        <v>33184.46915261136</v>
      </c>
      <c r="E30" s="19">
        <f>SUM(E18:E29)</f>
        <v>33798.72820414702</v>
      </c>
      <c r="F30" s="19">
        <f>SUM(F18:F29)</f>
        <v>34412.98725568267</v>
      </c>
      <c r="G30" s="19">
        <f>SUM(G18:G29)</f>
        <v>34720.1167814505</v>
      </c>
      <c r="H30" s="19">
        <f>SUM(H18:H29)</f>
        <v>55779.84211021916</v>
      </c>
      <c r="I30" s="19">
        <f>SUM(I18:I29)</f>
        <v>34720.1167814505</v>
      </c>
      <c r="J30" s="19">
        <f>SUM(J18:J29)</f>
        <v>34412.98725568267</v>
      </c>
      <c r="K30" s="19">
        <f>SUM(K18:K29)</f>
        <v>33798.72820414702</v>
      </c>
      <c r="L30" s="19">
        <f>SUM(L18:L29)</f>
        <v>33184.46915261136</v>
      </c>
      <c r="M30" s="19">
        <f>SUM(M18:M29)</f>
        <v>34720.1167814505</v>
      </c>
      <c r="N30" s="19">
        <f>SUM(N18:N29)</f>
        <v>34720.1167814505</v>
      </c>
      <c r="O30" s="19">
        <f>SUM(O18:O29)</f>
        <v>33798.72820414702</v>
      </c>
      <c r="P30" s="19">
        <f>SUM(P18:P29)</f>
        <v>33184.46915261136</v>
      </c>
      <c r="Q30" s="19">
        <f>SUM(Q18:Q29)</f>
        <v>33798.72820414702</v>
      </c>
      <c r="R30" s="19">
        <f>SUM(R18:R29)</f>
        <v>34412.98725568267</v>
      </c>
      <c r="S30" s="19">
        <f>SUM(S18:S29)</f>
        <v>34720.1167814505</v>
      </c>
      <c r="T30" s="19">
        <f>SUM(T18:T29)</f>
        <v>55779.84211021916</v>
      </c>
      <c r="U30" s="19">
        <f>SUM(U18:U29)</f>
        <v>34720.1167814505</v>
      </c>
      <c r="V30" s="19">
        <f>SUM(V18:V29)</f>
        <v>34412.98725568267</v>
      </c>
      <c r="W30" s="19">
        <f>SUM(W18:W29)</f>
        <v>33798.72820414702</v>
      </c>
      <c r="X30" s="19">
        <f>SUM(X18:X29)</f>
        <v>33184.46915261136</v>
      </c>
      <c r="Y30" s="19">
        <f>SUM(Y18:Y29)</f>
        <v>34720.1167814505</v>
      </c>
      <c r="Z30" s="19">
        <f>SUMIF($B$13:$Y$13,"Yes",B30:Y30)</f>
        <v>499770.2516506479</v>
      </c>
      <c r="AA30" s="19">
        <f>SUM(B30:M30)</f>
        <v>431251.4066650504</v>
      </c>
      <c r="AB30" s="19">
        <f>SUM(B30:Y30)</f>
        <v>862502.8133301006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333.3333333333333</v>
      </c>
      <c r="C36" s="36">
        <f>O36</f>
        <v>333.3333333333333</v>
      </c>
      <c r="D36" s="36">
        <f>P36</f>
        <v>333.3333333333333</v>
      </c>
      <c r="E36" s="36">
        <f>Q36</f>
        <v>333.3333333333333</v>
      </c>
      <c r="F36" s="36">
        <f>R36</f>
        <v>333.3333333333333</v>
      </c>
      <c r="G36" s="36">
        <f>S36</f>
        <v>333.3333333333333</v>
      </c>
      <c r="H36" s="36">
        <f>T36</f>
        <v>333.3333333333333</v>
      </c>
      <c r="I36" s="36">
        <f>U36</f>
        <v>333.3333333333333</v>
      </c>
      <c r="J36" s="36">
        <f>V36</f>
        <v>333.3333333333333</v>
      </c>
      <c r="K36" s="36">
        <f>W36</f>
        <v>333.3333333333333</v>
      </c>
      <c r="L36" s="36">
        <f>X36</f>
        <v>333.3333333333333</v>
      </c>
      <c r="M36" s="36">
        <f>Y36</f>
        <v>333.3333333333333</v>
      </c>
      <c r="N36" s="36">
        <f>SUM(N37:N41)</f>
        <v>333.3333333333333</v>
      </c>
      <c r="O36" s="36">
        <f>SUM(O37:O41)</f>
        <v>333.3333333333333</v>
      </c>
      <c r="P36" s="36">
        <f>SUM(P37:P41)</f>
        <v>333.3333333333333</v>
      </c>
      <c r="Q36" s="36">
        <f>SUM(Q37:Q41)</f>
        <v>333.3333333333333</v>
      </c>
      <c r="R36" s="36">
        <f>SUM(R37:R41)</f>
        <v>333.3333333333333</v>
      </c>
      <c r="S36" s="36">
        <f>SUM(S37:S41)</f>
        <v>333.3333333333333</v>
      </c>
      <c r="T36" s="36">
        <f>SUM(T37:T41)</f>
        <v>333.3333333333333</v>
      </c>
      <c r="U36" s="36">
        <f>SUM(U37:U41)</f>
        <v>333.3333333333333</v>
      </c>
      <c r="V36" s="36">
        <f>SUM(V37:V41)</f>
        <v>333.3333333333333</v>
      </c>
      <c r="W36" s="36">
        <f>SUM(W37:W41)</f>
        <v>333.3333333333333</v>
      </c>
      <c r="X36" s="36">
        <f>SUM(X37:X41)</f>
        <v>333.3333333333333</v>
      </c>
      <c r="Y36" s="36">
        <f>SUM(Y37:Y41)</f>
        <v>333.3333333333333</v>
      </c>
      <c r="Z36" s="36">
        <f>SUMIF($B$13:$Y$13,"Yes",B36:Y36)</f>
        <v>4666.666666666667</v>
      </c>
      <c r="AA36" s="36">
        <f>SUM(B36:M36)</f>
        <v>4000</v>
      </c>
      <c r="AB36" s="36">
        <f>SUM(B36:Y36)</f>
        <v>7999.999999999997</v>
      </c>
      <c r="AC36" s="73"/>
    </row>
    <row r="37" spans="1:30" hidden="true" outlineLevel="1">
      <c r="A37" s="181" t="str">
        <f>Calculations!$A$4</f>
        <v>Coffee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2333.333333333333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Tea</v>
      </c>
      <c r="B38" s="36">
        <f>N38</f>
        <v>166.6666666666667</v>
      </c>
      <c r="C38" s="36">
        <f>O38</f>
        <v>166.6666666666667</v>
      </c>
      <c r="D38" s="36">
        <f>P38</f>
        <v>166.6666666666667</v>
      </c>
      <c r="E38" s="36">
        <f>Q38</f>
        <v>166.6666666666667</v>
      </c>
      <c r="F38" s="36">
        <f>R38</f>
        <v>166.6666666666667</v>
      </c>
      <c r="G38" s="36">
        <f>S38</f>
        <v>166.6666666666667</v>
      </c>
      <c r="H38" s="36">
        <f>T38</f>
        <v>166.6666666666667</v>
      </c>
      <c r="I38" s="36">
        <f>U38</f>
        <v>166.6666666666667</v>
      </c>
      <c r="J38" s="36">
        <f>V38</f>
        <v>166.6666666666667</v>
      </c>
      <c r="K38" s="36">
        <f>W38</f>
        <v>166.6666666666667</v>
      </c>
      <c r="L38" s="36">
        <f>X38</f>
        <v>166.6666666666667</v>
      </c>
      <c r="M38" s="36">
        <f>Y38</f>
        <v>166.6666666666667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166.6666666666667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166.6666666666667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166.6666666666667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166.6666666666667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166.6666666666667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166.6666666666667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166.6666666666667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166.6666666666667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166.6666666666667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166.6666666666667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166.6666666666667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166.6666666666667</v>
      </c>
      <c r="Z38" s="36">
        <f>SUMIF($B$13:$Y$13,"Yes",B38:Y38)</f>
        <v>2333.333333333333</v>
      </c>
      <c r="AA38" s="36">
        <f>SUM(B38:M38)</f>
        <v>2000</v>
      </c>
      <c r="AB38" s="36">
        <f>SUM(B38:Y38)</f>
        <v>3999.999999999999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Coffee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Tea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Coffee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Tea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Coffee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Tea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Coffee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Tea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45.83333333333331</v>
      </c>
      <c r="C66" s="36">
        <f>O66</f>
        <v>45.83333333333331</v>
      </c>
      <c r="D66" s="36">
        <f>P66</f>
        <v>45.83333333333331</v>
      </c>
      <c r="E66" s="36">
        <f>Q66</f>
        <v>45.83333333333331</v>
      </c>
      <c r="F66" s="36">
        <f>R66</f>
        <v>45.83333333333331</v>
      </c>
      <c r="G66" s="36">
        <f>S66</f>
        <v>45.83333333333331</v>
      </c>
      <c r="H66" s="36">
        <f>T66</f>
        <v>45.83333333333331</v>
      </c>
      <c r="I66" s="36">
        <f>U66</f>
        <v>45.83333333333331</v>
      </c>
      <c r="J66" s="36">
        <f>V66</f>
        <v>45.83333333333331</v>
      </c>
      <c r="K66" s="36">
        <f>W66</f>
        <v>45.83333333333331</v>
      </c>
      <c r="L66" s="36">
        <f>X66</f>
        <v>45.83333333333331</v>
      </c>
      <c r="M66" s="36">
        <f>Y66</f>
        <v>45.83333333333331</v>
      </c>
      <c r="N66" s="46">
        <f>SUM(N67:N71)</f>
        <v>45.83333333333331</v>
      </c>
      <c r="O66" s="46">
        <f>SUM(O67:O71)</f>
        <v>45.83333333333331</v>
      </c>
      <c r="P66" s="46">
        <f>SUM(P67:P71)</f>
        <v>45.83333333333331</v>
      </c>
      <c r="Q66" s="46">
        <f>SUM(Q67:Q71)</f>
        <v>45.83333333333331</v>
      </c>
      <c r="R66" s="46">
        <f>SUM(R67:R71)</f>
        <v>45.83333333333331</v>
      </c>
      <c r="S66" s="46">
        <f>SUM(S67:S71)</f>
        <v>45.83333333333331</v>
      </c>
      <c r="T66" s="46">
        <f>SUM(T67:T71)</f>
        <v>45.83333333333331</v>
      </c>
      <c r="U66" s="46">
        <f>SUM(U67:U71)</f>
        <v>45.83333333333331</v>
      </c>
      <c r="V66" s="46">
        <f>SUM(V67:V71)</f>
        <v>45.83333333333331</v>
      </c>
      <c r="W66" s="46">
        <f>SUM(W67:W71)</f>
        <v>45.83333333333331</v>
      </c>
      <c r="X66" s="46">
        <f>SUM(X67:X71)</f>
        <v>45.83333333333331</v>
      </c>
      <c r="Y66" s="46">
        <f>SUM(Y67:Y71)</f>
        <v>45.83333333333331</v>
      </c>
      <c r="Z66" s="46">
        <f>SUMIF($B$13:$Y$13,"Yes",B66:Y66)</f>
        <v>641.6666666666663</v>
      </c>
      <c r="AA66" s="46">
        <f>SUM(B66:M66)</f>
        <v>549.9999999999998</v>
      </c>
      <c r="AB66" s="46">
        <f>SUM(B66:Y66)</f>
        <v>1099.999999999999</v>
      </c>
    </row>
    <row r="67" spans="1:30" hidden="true" outlineLevel="1">
      <c r="A67" s="181" t="str">
        <f>Calculations!$A$4</f>
        <v>Coffee</v>
      </c>
      <c r="B67" s="36">
        <f>N67</f>
        <v>20.83333333333333</v>
      </c>
      <c r="C67" s="36">
        <f>O67</f>
        <v>20.83333333333333</v>
      </c>
      <c r="D67" s="36">
        <f>P67</f>
        <v>20.83333333333333</v>
      </c>
      <c r="E67" s="36">
        <f>Q67</f>
        <v>20.83333333333333</v>
      </c>
      <c r="F67" s="36">
        <f>R67</f>
        <v>20.83333333333333</v>
      </c>
      <c r="G67" s="36">
        <f>S67</f>
        <v>20.83333333333333</v>
      </c>
      <c r="H67" s="36">
        <f>T67</f>
        <v>20.83333333333333</v>
      </c>
      <c r="I67" s="36">
        <f>U67</f>
        <v>20.83333333333333</v>
      </c>
      <c r="J67" s="36">
        <f>V67</f>
        <v>20.83333333333333</v>
      </c>
      <c r="K67" s="36">
        <f>W67</f>
        <v>20.83333333333333</v>
      </c>
      <c r="L67" s="36">
        <f>X67</f>
        <v>20.83333333333333</v>
      </c>
      <c r="M67" s="36">
        <f>Y67</f>
        <v>20.83333333333333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20.83333333333333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20.83333333333333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20.83333333333333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20.83333333333333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20.83333333333333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20.83333333333333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20.83333333333333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20.83333333333333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20.83333333333333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20.83333333333333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20.83333333333333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20.83333333333333</v>
      </c>
      <c r="Z67" s="46">
        <f>SUMIF($B$13:$Y$13,"Yes",B67:Y67)</f>
        <v>291.6666666666665</v>
      </c>
      <c r="AA67" s="46">
        <f>SUM(B67:M67)</f>
        <v>249.9999999999999</v>
      </c>
      <c r="AB67" s="46">
        <f>SUM(B67:Y67)</f>
        <v>499.9999999999997</v>
      </c>
    </row>
    <row r="68" spans="1:30" hidden="true" outlineLevel="1">
      <c r="A68" s="181" t="str">
        <f>Calculations!$A$5</f>
        <v>Tea</v>
      </c>
      <c r="B68" s="36">
        <f>N68</f>
        <v>24.99999999999999</v>
      </c>
      <c r="C68" s="36">
        <f>O68</f>
        <v>24.99999999999999</v>
      </c>
      <c r="D68" s="36">
        <f>P68</f>
        <v>24.99999999999999</v>
      </c>
      <c r="E68" s="36">
        <f>Q68</f>
        <v>24.99999999999999</v>
      </c>
      <c r="F68" s="36">
        <f>R68</f>
        <v>24.99999999999999</v>
      </c>
      <c r="G68" s="36">
        <f>S68</f>
        <v>24.99999999999999</v>
      </c>
      <c r="H68" s="36">
        <f>T68</f>
        <v>24.99999999999999</v>
      </c>
      <c r="I68" s="36">
        <f>U68</f>
        <v>24.99999999999999</v>
      </c>
      <c r="J68" s="36">
        <f>V68</f>
        <v>24.99999999999999</v>
      </c>
      <c r="K68" s="36">
        <f>W68</f>
        <v>24.99999999999999</v>
      </c>
      <c r="L68" s="36">
        <f>X68</f>
        <v>24.99999999999999</v>
      </c>
      <c r="M68" s="36">
        <f>Y68</f>
        <v>24.99999999999999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24.99999999999999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24.99999999999999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24.99999999999999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24.99999999999999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24.99999999999999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24.99999999999999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24.99999999999999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24.99999999999999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24.99999999999999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24.99999999999999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24.99999999999999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24.99999999999999</v>
      </c>
      <c r="Z68" s="46">
        <f>SUMIF($B$13:$Y$13,"Yes",B68:Y68)</f>
        <v>349.9999999999999</v>
      </c>
      <c r="AA68" s="46">
        <f>SUM(B68:M68)</f>
        <v>299.9999999999999</v>
      </c>
      <c r="AB68" s="46">
        <f>SUM(B68:Y68)</f>
        <v>599.9999999999999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83.33333333333333</v>
      </c>
      <c r="C75" s="46">
        <f>SUM(Calculations!$R$14:$R$16)/12</f>
        <v>83.33333333333333</v>
      </c>
      <c r="D75" s="46">
        <f>SUM(Calculations!$R$14:$R$16)/12</f>
        <v>83.33333333333333</v>
      </c>
      <c r="E75" s="46">
        <f>SUM(Calculations!$R$14:$R$16)/12</f>
        <v>83.33333333333333</v>
      </c>
      <c r="F75" s="46">
        <f>SUM(Calculations!$R$14:$R$16)/12</f>
        <v>83.33333333333333</v>
      </c>
      <c r="G75" s="46">
        <f>SUM(Calculations!$R$14:$R$16)/12</f>
        <v>83.33333333333333</v>
      </c>
      <c r="H75" s="46">
        <f>SUM(Calculations!$R$14:$R$16)/12</f>
        <v>83.33333333333333</v>
      </c>
      <c r="I75" s="46">
        <f>SUM(Calculations!$R$14:$R$16)/12</f>
        <v>83.33333333333333</v>
      </c>
      <c r="J75" s="46">
        <f>SUM(Calculations!$R$14:$R$16)/12</f>
        <v>83.33333333333333</v>
      </c>
      <c r="K75" s="46">
        <f>SUM(Calculations!$R$14:$R$16)/12</f>
        <v>83.33333333333333</v>
      </c>
      <c r="L75" s="46">
        <f>SUM(Calculations!$R$14:$R$16)/12</f>
        <v>83.33333333333333</v>
      </c>
      <c r="M75" s="46">
        <f>SUM(Calculations!$R$14:$R$16)/12</f>
        <v>83.33333333333333</v>
      </c>
      <c r="N75" s="46">
        <f>SUM(Calculations!$R$14:$R$16)/12</f>
        <v>83.33333333333333</v>
      </c>
      <c r="O75" s="46">
        <f>SUM(Calculations!$R$14:$R$16)/12</f>
        <v>83.33333333333333</v>
      </c>
      <c r="P75" s="46">
        <f>SUM(Calculations!$R$14:$R$16)/12</f>
        <v>83.33333333333333</v>
      </c>
      <c r="Q75" s="46">
        <f>SUM(Calculations!$R$14:$R$16)/12</f>
        <v>83.33333333333333</v>
      </c>
      <c r="R75" s="46">
        <f>SUM(Calculations!$R$14:$R$16)/12</f>
        <v>83.33333333333333</v>
      </c>
      <c r="S75" s="46">
        <f>SUM(Calculations!$R$14:$R$16)/12</f>
        <v>83.33333333333333</v>
      </c>
      <c r="T75" s="46">
        <f>SUM(Calculations!$R$14:$R$16)/12</f>
        <v>83.33333333333333</v>
      </c>
      <c r="U75" s="46">
        <f>SUM(Calculations!$R$14:$R$16)/12</f>
        <v>83.33333333333333</v>
      </c>
      <c r="V75" s="46">
        <f>SUM(Calculations!$R$14:$R$16)/12</f>
        <v>83.33333333333333</v>
      </c>
      <c r="W75" s="46">
        <f>SUM(Calculations!$R$14:$R$16)/12</f>
        <v>83.33333333333333</v>
      </c>
      <c r="X75" s="46">
        <f>SUM(Calculations!$R$14:$R$16)/12</f>
        <v>83.33333333333333</v>
      </c>
      <c r="Y75" s="46">
        <f>SUM(Calculations!$R$14:$R$16)/12</f>
        <v>83.33333333333333</v>
      </c>
      <c r="Z75" s="46">
        <f>SUMIF($B$13:$Y$13,"Yes",B75:Y75)</f>
        <v>1166.666666666667</v>
      </c>
      <c r="AA75" s="46">
        <f>SUM(B75:M75)</f>
        <v>1000</v>
      </c>
      <c r="AB75" s="46">
        <f>SUM(B75:Y75)</f>
        <v>1999.999999999999</v>
      </c>
    </row>
    <row r="76" spans="1:30">
      <c r="A76" s="16" t="s">
        <v>48</v>
      </c>
      <c r="B76" s="46">
        <f>SUM(Calculations!$S$14:$S$16)/12</f>
        <v>125</v>
      </c>
      <c r="C76" s="46">
        <f>SUM(Calculations!$S$14:$S$16)/12</f>
        <v>125</v>
      </c>
      <c r="D76" s="46">
        <f>SUM(Calculations!$S$14:$S$16)/12</f>
        <v>125</v>
      </c>
      <c r="E76" s="46">
        <f>SUM(Calculations!$S$14:$S$16)/12</f>
        <v>125</v>
      </c>
      <c r="F76" s="46">
        <f>SUM(Calculations!$S$14:$S$16)/12</f>
        <v>125</v>
      </c>
      <c r="G76" s="46">
        <f>SUM(Calculations!$S$14:$S$16)/12</f>
        <v>125</v>
      </c>
      <c r="H76" s="46">
        <f>SUM(Calculations!$S$14:$S$16)/12</f>
        <v>125</v>
      </c>
      <c r="I76" s="46">
        <f>SUM(Calculations!$S$14:$S$16)/12</f>
        <v>125</v>
      </c>
      <c r="J76" s="46">
        <f>SUM(Calculations!$S$14:$S$16)/12</f>
        <v>125</v>
      </c>
      <c r="K76" s="46">
        <f>SUM(Calculations!$S$14:$S$16)/12</f>
        <v>125</v>
      </c>
      <c r="L76" s="46">
        <f>SUM(Calculations!$S$14:$S$16)/12</f>
        <v>125</v>
      </c>
      <c r="M76" s="46">
        <f>SUM(Calculations!$S$14:$S$16)/12</f>
        <v>125</v>
      </c>
      <c r="N76" s="46">
        <f>SUM(Calculations!$S$14:$S$16)/12</f>
        <v>125</v>
      </c>
      <c r="O76" s="46">
        <f>SUM(Calculations!$S$14:$S$16)/12</f>
        <v>125</v>
      </c>
      <c r="P76" s="46">
        <f>SUM(Calculations!$S$14:$S$16)/12</f>
        <v>125</v>
      </c>
      <c r="Q76" s="46">
        <f>SUM(Calculations!$S$14:$S$16)/12</f>
        <v>125</v>
      </c>
      <c r="R76" s="46">
        <f>SUM(Calculations!$S$14:$S$16)/12</f>
        <v>125</v>
      </c>
      <c r="S76" s="46">
        <f>SUM(Calculations!$S$14:$S$16)/12</f>
        <v>125</v>
      </c>
      <c r="T76" s="46">
        <f>SUM(Calculations!$S$14:$S$16)/12</f>
        <v>125</v>
      </c>
      <c r="U76" s="46">
        <f>SUM(Calculations!$S$14:$S$16)/12</f>
        <v>125</v>
      </c>
      <c r="V76" s="46">
        <f>SUM(Calculations!$S$14:$S$16)/12</f>
        <v>125</v>
      </c>
      <c r="W76" s="46">
        <f>SUM(Calculations!$S$14:$S$16)/12</f>
        <v>125</v>
      </c>
      <c r="X76" s="46">
        <f>SUM(Calculations!$S$14:$S$16)/12</f>
        <v>125</v>
      </c>
      <c r="Y76" s="46">
        <f>SUM(Calculations!$S$14:$S$16)/12</f>
        <v>125</v>
      </c>
      <c r="Z76" s="46">
        <f>SUMIF($B$13:$Y$13,"Yes",B76:Y76)</f>
        <v>1750</v>
      </c>
      <c r="AA76" s="46">
        <f>SUM(B76:M76)</f>
        <v>1500</v>
      </c>
      <c r="AB76" s="46">
        <f>SUM(B76:Y76)</f>
        <v>3000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168000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9340.04688883501</v>
      </c>
      <c r="C81" s="46">
        <f>(SUM($AA$18:$AA$29)-SUM($AA$36,$AA$42,$AA$48,$AA$54,$AA$60,$AA$66,$AA$72:$AA$79))*Parameters!$B$37/12</f>
        <v>9340.04688883501</v>
      </c>
      <c r="D81" s="46">
        <f>(SUM($AA$18:$AA$29)-SUM($AA$36,$AA$42,$AA$48,$AA$54,$AA$60,$AA$66,$AA$72:$AA$79))*Parameters!$B$37/12</f>
        <v>9340.04688883501</v>
      </c>
      <c r="E81" s="46">
        <f>(SUM($AA$18:$AA$29)-SUM($AA$36,$AA$42,$AA$48,$AA$54,$AA$60,$AA$66,$AA$72:$AA$79))*Parameters!$B$37/12</f>
        <v>9340.04688883501</v>
      </c>
      <c r="F81" s="46">
        <f>(SUM($AA$18:$AA$29)-SUM($AA$36,$AA$42,$AA$48,$AA$54,$AA$60,$AA$66,$AA$72:$AA$79))*Parameters!$B$37/12</f>
        <v>9340.04688883501</v>
      </c>
      <c r="G81" s="46">
        <f>(SUM($AA$18:$AA$29)-SUM($AA$36,$AA$42,$AA$48,$AA$54,$AA$60,$AA$66,$AA$72:$AA$79))*Parameters!$B$37/12</f>
        <v>9340.04688883501</v>
      </c>
      <c r="H81" s="46">
        <f>(SUM($AA$18:$AA$29)-SUM($AA$36,$AA$42,$AA$48,$AA$54,$AA$60,$AA$66,$AA$72:$AA$79))*Parameters!$B$37/12</f>
        <v>9340.04688883501</v>
      </c>
      <c r="I81" s="46">
        <f>(SUM($AA$18:$AA$29)-SUM($AA$36,$AA$42,$AA$48,$AA$54,$AA$60,$AA$66,$AA$72:$AA$79))*Parameters!$B$37/12</f>
        <v>9340.04688883501</v>
      </c>
      <c r="J81" s="46">
        <f>(SUM($AA$18:$AA$29)-SUM($AA$36,$AA$42,$AA$48,$AA$54,$AA$60,$AA$66,$AA$72:$AA$79))*Parameters!$B$37/12</f>
        <v>9340.04688883501</v>
      </c>
      <c r="K81" s="46">
        <f>(SUM($AA$18:$AA$29)-SUM($AA$36,$AA$42,$AA$48,$AA$54,$AA$60,$AA$66,$AA$72:$AA$79))*Parameters!$B$37/12</f>
        <v>9340.04688883501</v>
      </c>
      <c r="L81" s="46">
        <f>(SUM($AA$18:$AA$29)-SUM($AA$36,$AA$42,$AA$48,$AA$54,$AA$60,$AA$66,$AA$72:$AA$79))*Parameters!$B$37/12</f>
        <v>9340.04688883501</v>
      </c>
      <c r="M81" s="46">
        <f>(SUM($AA$18:$AA$29)-SUM($AA$36,$AA$42,$AA$48,$AA$54,$AA$60,$AA$66,$AA$72:$AA$79))*Parameters!$B$37/12</f>
        <v>9340.04688883501</v>
      </c>
      <c r="N81" s="46">
        <f>(SUM($AA$18:$AA$29)-SUM($AA$36,$AA$42,$AA$48,$AA$54,$AA$60,$AA$66,$AA$72:$AA$79))*Parameters!$B$37/12</f>
        <v>9340.04688883501</v>
      </c>
      <c r="O81" s="46">
        <f>(SUM($AA$18:$AA$29)-SUM($AA$36,$AA$42,$AA$48,$AA$54,$AA$60,$AA$66,$AA$72:$AA$79))*Parameters!$B$37/12</f>
        <v>9340.04688883501</v>
      </c>
      <c r="P81" s="46">
        <f>(SUM($AA$18:$AA$29)-SUM($AA$36,$AA$42,$AA$48,$AA$54,$AA$60,$AA$66,$AA$72:$AA$79))*Parameters!$B$37/12</f>
        <v>9340.04688883501</v>
      </c>
      <c r="Q81" s="46">
        <f>(SUM($AA$18:$AA$29)-SUM($AA$36,$AA$42,$AA$48,$AA$54,$AA$60,$AA$66,$AA$72:$AA$79))*Parameters!$B$37/12</f>
        <v>9340.04688883501</v>
      </c>
      <c r="R81" s="46">
        <f>(SUM($AA$18:$AA$29)-SUM($AA$36,$AA$42,$AA$48,$AA$54,$AA$60,$AA$66,$AA$72:$AA$79))*Parameters!$B$37/12</f>
        <v>9340.04688883501</v>
      </c>
      <c r="S81" s="46">
        <f>(SUM($AA$18:$AA$29)-SUM($AA$36,$AA$42,$AA$48,$AA$54,$AA$60,$AA$66,$AA$72:$AA$79))*Parameters!$B$37/12</f>
        <v>9340.04688883501</v>
      </c>
      <c r="T81" s="46">
        <f>(SUM($AA$18:$AA$29)-SUM($AA$36,$AA$42,$AA$48,$AA$54,$AA$60,$AA$66,$AA$72:$AA$79))*Parameters!$B$37/12</f>
        <v>9340.04688883501</v>
      </c>
      <c r="U81" s="46">
        <f>(SUM($AA$18:$AA$29)-SUM($AA$36,$AA$42,$AA$48,$AA$54,$AA$60,$AA$66,$AA$72:$AA$79))*Parameters!$B$37/12</f>
        <v>9340.04688883501</v>
      </c>
      <c r="V81" s="46">
        <f>(SUM($AA$18:$AA$29)-SUM($AA$36,$AA$42,$AA$48,$AA$54,$AA$60,$AA$66,$AA$72:$AA$79))*Parameters!$B$37/12</f>
        <v>9340.04688883501</v>
      </c>
      <c r="W81" s="46">
        <f>(SUM($AA$18:$AA$29)-SUM($AA$36,$AA$42,$AA$48,$AA$54,$AA$60,$AA$66,$AA$72:$AA$79))*Parameters!$B$37/12</f>
        <v>9340.04688883501</v>
      </c>
      <c r="X81" s="46">
        <f>(SUM($AA$18:$AA$29)-SUM($AA$36,$AA$42,$AA$48,$AA$54,$AA$60,$AA$66,$AA$72:$AA$79))*Parameters!$B$37/12</f>
        <v>9340.04688883501</v>
      </c>
      <c r="Y81" s="46">
        <f>(SUM($AA$18:$AA$29)-SUM($AA$36,$AA$42,$AA$48,$AA$54,$AA$60,$AA$66,$AA$72:$AA$79))*Parameters!$B$37/12</f>
        <v>9340.04688883501</v>
      </c>
      <c r="Z81" s="46">
        <f>SUMIF($B$13:$Y$13,"Yes",B81:Y81)</f>
        <v>130760.6564436902</v>
      </c>
      <c r="AA81" s="46">
        <f>SUM(B81:M81)</f>
        <v>112080.5626660201</v>
      </c>
      <c r="AB81" s="46">
        <f>SUM(B81:Y81)</f>
        <v>224161.1253320402</v>
      </c>
    </row>
    <row r="82" spans="1:30">
      <c r="A82" s="16" t="s">
        <v>52</v>
      </c>
      <c r="B82" s="46">
        <f>SUM(B83:B87)</f>
        <v>2913.095238095239</v>
      </c>
      <c r="C82" s="46">
        <f>SUM(C83:C87)</f>
        <v>2913.095238095239</v>
      </c>
      <c r="D82" s="46">
        <f>SUM(D83:D87)</f>
        <v>2913.095238095239</v>
      </c>
      <c r="E82" s="46">
        <f>SUM(E83:E87)</f>
        <v>2913.095238095239</v>
      </c>
      <c r="F82" s="46">
        <f>SUM(F83:F87)</f>
        <v>2913.095238095239</v>
      </c>
      <c r="G82" s="46">
        <f>SUM(G83:G87)</f>
        <v>2913.095238095239</v>
      </c>
      <c r="H82" s="46">
        <f>SUM(H83:H87)</f>
        <v>2913.095238095239</v>
      </c>
      <c r="I82" s="46">
        <f>SUM(I83:I87)</f>
        <v>2913.095238095239</v>
      </c>
      <c r="J82" s="46">
        <f>SUM(J83:J87)</f>
        <v>2913.095238095239</v>
      </c>
      <c r="K82" s="46">
        <f>SUM(K83:K87)</f>
        <v>2913.095238095239</v>
      </c>
      <c r="L82" s="46">
        <f>SUM(L83:L87)</f>
        <v>2913.095238095239</v>
      </c>
      <c r="M82" s="46">
        <f>SUM(M83:M87)</f>
        <v>2913.095238095239</v>
      </c>
      <c r="N82" s="46">
        <f>SUM(N83:N87)</f>
        <v>2913.095238095239</v>
      </c>
      <c r="O82" s="46">
        <f>SUM(O83:O87)</f>
        <v>2913.095238095239</v>
      </c>
      <c r="P82" s="46">
        <f>SUM(P83:P87)</f>
        <v>2913.095238095239</v>
      </c>
      <c r="Q82" s="46">
        <f>SUM(Q83:Q87)</f>
        <v>2913.095238095239</v>
      </c>
      <c r="R82" s="46">
        <f>SUM(R83:R87)</f>
        <v>2913.095238095239</v>
      </c>
      <c r="S82" s="46">
        <f>SUM(S83:S87)</f>
        <v>2913.095238095239</v>
      </c>
      <c r="T82" s="46">
        <f>SUM(T83:T87)</f>
        <v>2913.095238095239</v>
      </c>
      <c r="U82" s="46">
        <f>SUM(U83:U87)</f>
        <v>2913.095238095239</v>
      </c>
      <c r="V82" s="46">
        <f>SUM(V83:V87)</f>
        <v>2913.095238095239</v>
      </c>
      <c r="W82" s="46">
        <f>SUM(W83:W87)</f>
        <v>2913.095238095239</v>
      </c>
      <c r="X82" s="46">
        <f>SUM(X83:X87)</f>
        <v>2913.095238095239</v>
      </c>
      <c r="Y82" s="46">
        <f>SUM(Y83:Y87)</f>
        <v>2913.095238095239</v>
      </c>
      <c r="Z82" s="46">
        <f>SUMIF($B$13:$Y$13,"Yes",B82:Y82)</f>
        <v>40783.33333333333</v>
      </c>
      <c r="AA82" s="46">
        <f>SUM(B82:M82)</f>
        <v>34957.14285714286</v>
      </c>
      <c r="AB82" s="46">
        <f>SUM(B82:Y82)</f>
        <v>69914.2857142857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2913.095238095239</v>
      </c>
      <c r="C83" s="46">
        <f>IF(Calculations!$E23&gt;COUNT(Output!$B$35:C$35),Calculations!$B23,IF(Calculations!$E23=COUNT(Output!$B$35:C$35),Inputs!$B56-Calculations!$C23*(Calculations!$E23-1)+Calculations!$D23,0))</f>
        <v>2913.095238095239</v>
      </c>
      <c r="D83" s="46">
        <f>IF(Calculations!$E23&gt;COUNT(Output!$B$35:D$35),Calculations!$B23,IF(Calculations!$E23=COUNT(Output!$B$35:D$35),Inputs!$B56-Calculations!$C23*(Calculations!$E23-1)+Calculations!$D23,0))</f>
        <v>2913.095238095239</v>
      </c>
      <c r="E83" s="46">
        <f>IF(Calculations!$E23&gt;COUNT(Output!$B$35:E$35),Calculations!$B23,IF(Calculations!$E23=COUNT(Output!$B$35:E$35),Inputs!$B56-Calculations!$C23*(Calculations!$E23-1)+Calculations!$D23,0))</f>
        <v>2913.095238095239</v>
      </c>
      <c r="F83" s="46">
        <f>IF(Calculations!$E23&gt;COUNT(Output!$B$35:F$35),Calculations!$B23,IF(Calculations!$E23=COUNT(Output!$B$35:F$35),Inputs!$B56-Calculations!$C23*(Calculations!$E23-1)+Calculations!$D23,0))</f>
        <v>2913.095238095239</v>
      </c>
      <c r="G83" s="46">
        <f>IF(Calculations!$E23&gt;COUNT(Output!$B$35:G$35),Calculations!$B23,IF(Calculations!$E23=COUNT(Output!$B$35:G$35),Inputs!$B56-Calculations!$C23*(Calculations!$E23-1)+Calculations!$D23,0))</f>
        <v>2913.095238095239</v>
      </c>
      <c r="H83" s="46">
        <f>IF(Calculations!$E23&gt;COUNT(Output!$B$35:H$35),Calculations!$B23,IF(Calculations!$E23=COUNT(Output!$B$35:H$35),Inputs!$B56-Calculations!$C23*(Calculations!$E23-1)+Calculations!$D23,0))</f>
        <v>2913.095238095239</v>
      </c>
      <c r="I83" s="46">
        <f>IF(Calculations!$E23&gt;COUNT(Output!$B$35:I$35),Calculations!$B23,IF(Calculations!$E23=COUNT(Output!$B$35:I$35),Inputs!$B56-Calculations!$C23*(Calculations!$E23-1)+Calculations!$D23,0))</f>
        <v>2913.095238095239</v>
      </c>
      <c r="J83" s="46">
        <f>IF(Calculations!$E23&gt;COUNT(Output!$B$35:J$35),Calculations!$B23,IF(Calculations!$E23=COUNT(Output!$B$35:J$35),Inputs!$B56-Calculations!$C23*(Calculations!$E23-1)+Calculations!$D23,0))</f>
        <v>2913.095238095239</v>
      </c>
      <c r="K83" s="46">
        <f>IF(Calculations!$E23&gt;COUNT(Output!$B$35:K$35),Calculations!$B23,IF(Calculations!$E23=COUNT(Output!$B$35:K$35),Inputs!$B56-Calculations!$C23*(Calculations!$E23-1)+Calculations!$D23,0))</f>
        <v>2913.095238095239</v>
      </c>
      <c r="L83" s="46">
        <f>IF(Calculations!$E23&gt;COUNT(Output!$B$35:L$35),Calculations!$B23,IF(Calculations!$E23=COUNT(Output!$B$35:L$35),Inputs!$B56-Calculations!$C23*(Calculations!$E23-1)+Calculations!$D23,0))</f>
        <v>2913.095238095239</v>
      </c>
      <c r="M83" s="46">
        <f>IF(Calculations!$E23&gt;COUNT(Output!$B$35:M$35),Calculations!$B23,IF(Calculations!$E23=COUNT(Output!$B$35:M$35),Inputs!$B56-Calculations!$C23*(Calculations!$E23-1)+Calculations!$D23,0))</f>
        <v>2913.095238095239</v>
      </c>
      <c r="N83" s="46">
        <f>IF(Calculations!$E23&gt;COUNT(Output!$B$35:N$35),Calculations!$B23,IF(Calculations!$E23=COUNT(Output!$B$35:N$35),Inputs!$B56-Calculations!$C23*(Calculations!$E23-1)+Calculations!$D23,0))</f>
        <v>2913.095238095239</v>
      </c>
      <c r="O83" s="46">
        <f>IF(Calculations!$E23&gt;COUNT(Output!$B$35:O$35),Calculations!$B23,IF(Calculations!$E23=COUNT(Output!$B$35:O$35),Inputs!$B56-Calculations!$C23*(Calculations!$E23-1)+Calculations!$D23,0))</f>
        <v>2913.095238095239</v>
      </c>
      <c r="P83" s="46">
        <f>IF(Calculations!$E23&gt;COUNT(Output!$B$35:P$35),Calculations!$B23,IF(Calculations!$E23=COUNT(Output!$B$35:P$35),Inputs!$B56-Calculations!$C23*(Calculations!$E23-1)+Calculations!$D23,0))</f>
        <v>2913.095238095239</v>
      </c>
      <c r="Q83" s="46">
        <f>IF(Calculations!$E23&gt;COUNT(Output!$B$35:Q$35),Calculations!$B23,IF(Calculations!$E23=COUNT(Output!$B$35:Q$35),Inputs!$B56-Calculations!$C23*(Calculations!$E23-1)+Calculations!$D23,0))</f>
        <v>2913.095238095239</v>
      </c>
      <c r="R83" s="46">
        <f>IF(Calculations!$E23&gt;COUNT(Output!$B$35:R$35),Calculations!$B23,IF(Calculations!$E23=COUNT(Output!$B$35:R$35),Inputs!$B56-Calculations!$C23*(Calculations!$E23-1)+Calculations!$D23,0))</f>
        <v>2913.095238095239</v>
      </c>
      <c r="S83" s="46">
        <f>IF(Calculations!$E23&gt;COUNT(Output!$B$35:S$35),Calculations!$B23,IF(Calculations!$E23=COUNT(Output!$B$35:S$35),Inputs!$B56-Calculations!$C23*(Calculations!$E23-1)+Calculations!$D23,0))</f>
        <v>2913.095238095239</v>
      </c>
      <c r="T83" s="46">
        <f>IF(Calculations!$E23&gt;COUNT(Output!$B$35:T$35),Calculations!$B23,IF(Calculations!$E23=COUNT(Output!$B$35:T$35),Inputs!$B56-Calculations!$C23*(Calculations!$E23-1)+Calculations!$D23,0))</f>
        <v>2913.095238095239</v>
      </c>
      <c r="U83" s="46">
        <f>IF(Calculations!$E23&gt;COUNT(Output!$B$35:U$35),Calculations!$B23,IF(Calculations!$E23=COUNT(Output!$B$35:U$35),Inputs!$B56-Calculations!$C23*(Calculations!$E23-1)+Calculations!$D23,0))</f>
        <v>2913.095238095239</v>
      </c>
      <c r="V83" s="46">
        <f>IF(Calculations!$E23&gt;COUNT(Output!$B$35:V$35),Calculations!$B23,IF(Calculations!$E23=COUNT(Output!$B$35:V$35),Inputs!$B56-Calculations!$C23*(Calculations!$E23-1)+Calculations!$D23,0))</f>
        <v>2913.095238095239</v>
      </c>
      <c r="W83" s="46">
        <f>IF(Calculations!$E23&gt;COUNT(Output!$B$35:W$35),Calculations!$B23,IF(Calculations!$E23=COUNT(Output!$B$35:W$35),Inputs!$B56-Calculations!$C23*(Calculations!$E23-1)+Calculations!$D23,0))</f>
        <v>2913.095238095239</v>
      </c>
      <c r="X83" s="46">
        <f>IF(Calculations!$E23&gt;COUNT(Output!$B$35:X$35),Calculations!$B23,IF(Calculations!$E23=COUNT(Output!$B$35:X$35),Inputs!$B56-Calculations!$C23*(Calculations!$E23-1)+Calculations!$D23,0))</f>
        <v>2913.095238095239</v>
      </c>
      <c r="Y83" s="46">
        <f>IF(Calculations!$E23&gt;COUNT(Output!$B$35:Y$35),Calculations!$B23,IF(Calculations!$E23=COUNT(Output!$B$35:Y$35),Inputs!$B56-Calculations!$C23*(Calculations!$E23-1)+Calculations!$D23,0))</f>
        <v>2913.095238095239</v>
      </c>
      <c r="Z83" s="46">
        <f>SUMIF($B$13:$Y$13,"Yes",B83:Y83)</f>
        <v>40783.33333333333</v>
      </c>
      <c r="AA83" s="46">
        <f>SUM(B83:M83)</f>
        <v>34957.14285714286</v>
      </c>
      <c r="AB83" s="46">
        <f>SUM(B83:Y83)</f>
        <v>69914.2857142857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24840.64212693024</v>
      </c>
      <c r="C88" s="19">
        <f>SUM(C72:C82,C66,C60,C54,C48,C42,C36)</f>
        <v>24840.64212693024</v>
      </c>
      <c r="D88" s="19">
        <f>SUM(D72:D82,D66,D60,D54,D48,D42,D36)</f>
        <v>24840.64212693024</v>
      </c>
      <c r="E88" s="19">
        <f>SUM(E72:E82,E66,E60,E54,E48,E42,E36)</f>
        <v>24840.64212693024</v>
      </c>
      <c r="F88" s="19">
        <f>SUM(F72:F82,F66,F60,F54,F48,F42,F36)</f>
        <v>24840.64212693024</v>
      </c>
      <c r="G88" s="19">
        <f>SUM(G72:G82,G66,G60,G54,G48,G42,G36)</f>
        <v>24840.64212693024</v>
      </c>
      <c r="H88" s="19">
        <f>SUM(H72:H82,H66,H60,H54,H48,H42,H36)</f>
        <v>24840.64212693024</v>
      </c>
      <c r="I88" s="19">
        <f>SUM(I72:I82,I66,I60,I54,I48,I42,I36)</f>
        <v>24840.64212693024</v>
      </c>
      <c r="J88" s="19">
        <f>SUM(J72:J82,J66,J60,J54,J48,J42,J36)</f>
        <v>24840.64212693024</v>
      </c>
      <c r="K88" s="19">
        <f>SUM(K72:K82,K66,K60,K54,K48,K42,K36)</f>
        <v>24840.64212693024</v>
      </c>
      <c r="L88" s="19">
        <f>SUM(L72:L82,L66,L60,L54,L48,L42,L36)</f>
        <v>24840.64212693024</v>
      </c>
      <c r="M88" s="19">
        <f>SUM(M72:M82,M66,M60,M54,M48,M42,M36)</f>
        <v>24840.64212693024</v>
      </c>
      <c r="N88" s="19">
        <f>SUM(N72:N82,N66,N60,N54,N48,N42,N36)</f>
        <v>24840.64212693024</v>
      </c>
      <c r="O88" s="19">
        <f>SUM(O72:O82,O66,O60,O54,O48,O42,O36)</f>
        <v>24840.64212693024</v>
      </c>
      <c r="P88" s="19">
        <f>SUM(P72:P82,P66,P60,P54,P48,P42,P36)</f>
        <v>24840.64212693024</v>
      </c>
      <c r="Q88" s="19">
        <f>SUM(Q72:Q82,Q66,Q60,Q54,Q48,Q42,Q36)</f>
        <v>24840.64212693024</v>
      </c>
      <c r="R88" s="19">
        <f>SUM(R72:R82,R66,R60,R54,R48,R42,R36)</f>
        <v>24840.64212693024</v>
      </c>
      <c r="S88" s="19">
        <f>SUM(S72:S82,S66,S60,S54,S48,S42,S36)</f>
        <v>24840.64212693024</v>
      </c>
      <c r="T88" s="19">
        <f>SUM(T72:T82,T66,T60,T54,T48,T42,T36)</f>
        <v>24840.64212693024</v>
      </c>
      <c r="U88" s="19">
        <f>SUM(U72:U82,U66,U60,U54,U48,U42,U36)</f>
        <v>24840.64212693024</v>
      </c>
      <c r="V88" s="19">
        <f>SUM(V72:V82,V66,V60,V54,V48,V42,V36)</f>
        <v>24840.64212693024</v>
      </c>
      <c r="W88" s="19">
        <f>SUM(W72:W82,W66,W60,W54,W48,W42,W36)</f>
        <v>24840.64212693024</v>
      </c>
      <c r="X88" s="19">
        <f>SUM(X72:X82,X66,X60,X54,X48,X42,X36)</f>
        <v>24840.64212693024</v>
      </c>
      <c r="Y88" s="19">
        <f>SUM(Y72:Y82,Y66,Y60,Y54,Y48,Y42,Y36)</f>
        <v>24840.64212693024</v>
      </c>
      <c r="Z88" s="19">
        <f>SUMIF($B$13:$Y$13,"Yes",B88:Y88)</f>
        <v>347768.9897770234</v>
      </c>
      <c r="AA88" s="19">
        <f>SUM(B88:M88)</f>
        <v>298087.7055231629</v>
      </c>
      <c r="AB88" s="19">
        <f>SUM(B88:Y88)</f>
        <v>596175.4110463259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480000</v>
      </c>
    </row>
    <row r="96" spans="1:30">
      <c r="A96" t="s">
        <v>62</v>
      </c>
      <c r="B96" s="36">
        <f>SUMPRODUCT(Inputs!C19:C21,Calculations!O14:O16)</f>
        <v>30000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3630000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53000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5</v>
      </c>
      <c r="D19" s="145"/>
      <c r="E19" s="20"/>
      <c r="F19" s="145" t="s">
        <v>93</v>
      </c>
      <c r="G19" s="20"/>
      <c r="H19" s="20"/>
      <c r="I19" s="145" t="s">
        <v>111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90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32000</v>
      </c>
    </row>
    <row r="31" spans="1:48">
      <c r="A31" s="5" t="s">
        <v>118</v>
      </c>
      <c r="B31" s="158">
        <v>12000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450000</v>
      </c>
    </row>
    <row r="46" spans="1:48" customHeight="1" ht="30">
      <c r="A46" s="57" t="s">
        <v>132</v>
      </c>
      <c r="B46" s="161">
        <v>150000</v>
      </c>
    </row>
    <row r="47" spans="1:48" customHeight="1" ht="30">
      <c r="A47" s="57" t="s">
        <v>133</v>
      </c>
      <c r="B47" s="161">
        <v>480000</v>
      </c>
    </row>
    <row r="48" spans="1:48" customHeight="1" ht="30">
      <c r="A48" s="57" t="s">
        <v>134</v>
      </c>
      <c r="B48" s="161">
        <v>2500000</v>
      </c>
    </row>
    <row r="49" spans="1:48" customHeight="1" ht="30">
      <c r="A49" s="57" t="s">
        <v>135</v>
      </c>
      <c r="B49" s="161">
        <v>20000</v>
      </c>
    </row>
    <row r="50" spans="1:48">
      <c r="A50" s="43"/>
      <c r="B50" s="36"/>
    </row>
    <row r="51" spans="1:48">
      <c r="A51" s="58" t="s">
        <v>136</v>
      </c>
      <c r="B51" s="161">
        <v>2000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80000</v>
      </c>
      <c r="B56" s="159">
        <v>53000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148</v>
      </c>
      <c r="C65" s="10" t="s">
        <v>149</v>
      </c>
    </row>
    <row r="66" spans="1:48">
      <c r="A66" s="142" t="s">
        <v>150</v>
      </c>
      <c r="B66" s="159">
        <v>88750</v>
      </c>
      <c r="C66" s="163">
        <v>42322</v>
      </c>
      <c r="D66" s="49">
        <f>INDEX(Parameters!$D$79:$D$90,MATCH(Inputs!A66,Parameters!$C$79:$C$90,0))</f>
        <v>6</v>
      </c>
    </row>
    <row r="67" spans="1:48">
      <c r="A67" s="143" t="s">
        <v>151</v>
      </c>
      <c r="B67" s="157">
        <v>53563</v>
      </c>
      <c r="C67" s="165">
        <v>14054</v>
      </c>
      <c r="D67" s="49">
        <f>INDEX(Parameters!$D$79:$D$90,MATCH(Inputs!A67,Parameters!$C$79:$C$90,0))</f>
        <v>5</v>
      </c>
    </row>
    <row r="68" spans="1:48">
      <c r="A68" s="143" t="s">
        <v>152</v>
      </c>
      <c r="B68" s="157">
        <v>63500</v>
      </c>
      <c r="C68" s="165">
        <v>39046</v>
      </c>
      <c r="D68" s="49">
        <f>INDEX(Parameters!$D$79:$D$90,MATCH(Inputs!A68,Parameters!$C$79:$C$90,0))</f>
        <v>4</v>
      </c>
    </row>
    <row r="69" spans="1:48">
      <c r="A69" s="143" t="s">
        <v>153</v>
      </c>
      <c r="B69" s="157">
        <v>73014</v>
      </c>
      <c r="C69" s="165">
        <v>45014</v>
      </c>
      <c r="D69" s="49">
        <f>INDEX(Parameters!$D$79:$D$90,MATCH(Inputs!A69,Parameters!$C$79:$C$90,0))</f>
        <v>3</v>
      </c>
    </row>
    <row r="70" spans="1:48">
      <c r="A70" s="143" t="s">
        <v>154</v>
      </c>
      <c r="B70" s="157">
        <v>66559</v>
      </c>
      <c r="C70" s="165">
        <v>43042</v>
      </c>
      <c r="D70" s="49">
        <f>INDEX(Parameters!$D$79:$D$90,MATCH(Inputs!A70,Parameters!$C$79:$C$90,0))</f>
        <v>2</v>
      </c>
    </row>
    <row r="71" spans="1:48">
      <c r="A71" s="144" t="s">
        <v>155</v>
      </c>
      <c r="B71" s="158">
        <v>97655</v>
      </c>
      <c r="C71" s="167">
        <v>19015</v>
      </c>
      <c r="D71" s="49">
        <f>INDEX(Parameters!$D$79:$D$90,MATCH(Inputs!A71,Parameters!$C$79:$C$90,0))</f>
        <v>1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23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Coffee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267.3672210925292</v>
      </c>
      <c r="M4" s="25">
        <f>L4*H4</f>
        <v>267.3672210925292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44.8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11978.05150494531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5250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2500</v>
      </c>
      <c r="AC4" s="60">
        <f>IF($A4=0,1/12,IFERROR(INDEX(Parameters!$X$2:$AI$17,MATCH(Calculations!$A4,Parameters!$A$2:$A$17,0),MONTH(Calculations!AC$3)),1/12))</f>
        <v>0.1282051282051282</v>
      </c>
      <c r="AD4" s="60">
        <f>IF($A4=0,1/12,IFERROR(INDEX(Parameters!$X$2:$AI$17,MATCH(Calculations!$A4,Parameters!$A$2:$A$17,0),MONTH(Calculations!AD$3)),1/12))</f>
        <v>0.05128205128205128</v>
      </c>
      <c r="AE4" s="60">
        <f>IF($A4=0,1/12,IFERROR(INDEX(Parameters!$X$2:$AI$17,MATCH(Calculations!$A4,Parameters!$A$2:$A$17,0),MONTH(Calculations!AE$3)),1/12))</f>
        <v>0</v>
      </c>
      <c r="AF4" s="60">
        <f>IF($A4=0,1/12,IFERROR(INDEX(Parameters!$X$2:$AI$17,MATCH(Calculations!$A4,Parameters!$A$2:$A$17,0),MONTH(Calculations!AF$3)),1/12))</f>
        <v>0.05128205128205128</v>
      </c>
      <c r="AG4" s="60">
        <f>IF($A4=0,1/12,IFERROR(INDEX(Parameters!$X$2:$AI$17,MATCH(Calculations!$A4,Parameters!$A$2:$A$17,0),MONTH(Calculations!AG$3)),1/12))</f>
        <v>0.1025641025641026</v>
      </c>
      <c r="AH4" s="60">
        <f>IF($A4=0,1/12,IFERROR(INDEX(Parameters!$X$2:$AI$17,MATCH(Calculations!$A4,Parameters!$A$2:$A$17,0),MONTH(Calculations!AH$3)),1/12))</f>
        <v>0.1282051282051282</v>
      </c>
      <c r="AI4" s="60">
        <f>IF($A4=0,1/12,IFERROR(INDEX(Parameters!$X$2:$AI$17,MATCH(Calculations!$A4,Parameters!$A$2:$A$17,0),MONTH(Calculations!AI$3)),1/12))</f>
        <v>0.1282051282051282</v>
      </c>
      <c r="AJ4" s="60">
        <f>IF($A4=0,1/12,IFERROR(INDEX(Parameters!$X$2:$AI$17,MATCH(Calculations!$A4,Parameters!$A$2:$A$17,0),MONTH(Calculations!AJ$3)),1/12))</f>
        <v>0.1282051282051282</v>
      </c>
      <c r="AK4" s="60">
        <f>IF($A4=0,1/12,IFERROR(INDEX(Parameters!$X$2:$AI$17,MATCH(Calculations!$A4,Parameters!$A$2:$A$17,0),MONTH(Calculations!AK$3)),1/12))</f>
        <v>0.1025641025641026</v>
      </c>
      <c r="AL4" s="60">
        <f>IF($A4=0,1/12,IFERROR(INDEX(Parameters!$X$2:$AI$17,MATCH(Calculations!$A4,Parameters!$A$2:$A$17,0),MONTH(Calculations!AL$3)),1/12))</f>
        <v>0.05128205128205128</v>
      </c>
      <c r="AM4" s="60">
        <f>IF($A4=0,1/12,IFERROR(INDEX(Parameters!$X$2:$AI$17,MATCH(Calculations!$A4,Parameters!$A$2:$A$17,0),MONTH(Calculations!AM$3)),1/12))</f>
        <v>0</v>
      </c>
      <c r="AN4" s="60">
        <f>IF($A4=0,1/12,IFERROR(INDEX(Parameters!$X$2:$AI$17,MATCH(Calculations!$A4,Parameters!$A$2:$A$17,0),MONTH(Calculations!AN$3)),1/12))</f>
        <v>0.1282051282051282</v>
      </c>
      <c r="AO4" s="60">
        <f>IF($A4=0,1/12,IFERROR(INDEX(Parameters!$X$2:$AI$17,MATCH(Calculations!$A4,Parameters!$A$2:$A$17,0),MONTH(Calculations!AO$3)),1/12))</f>
        <v>0.1282051282051282</v>
      </c>
      <c r="AP4" s="60">
        <f>IF($A4=0,1/12,IFERROR(INDEX(Parameters!$X$2:$AI$17,MATCH(Calculations!$A4,Parameters!$A$2:$A$17,0),MONTH(Calculations!AP$3)),1/12))</f>
        <v>0.05128205128205128</v>
      </c>
      <c r="AQ4" s="60">
        <f>IF($A4=0,1/12,IFERROR(INDEX(Parameters!$X$2:$AI$17,MATCH(Calculations!$A4,Parameters!$A$2:$A$17,0),MONTH(Calculations!AQ$3)),1/12))</f>
        <v>0</v>
      </c>
      <c r="AR4" s="60">
        <f>IF($A4=0,1/12,IFERROR(INDEX(Parameters!$X$2:$AI$17,MATCH(Calculations!$A4,Parameters!$A$2:$A$17,0),MONTH(Calculations!AR$3)),1/12))</f>
        <v>0.05128205128205128</v>
      </c>
      <c r="AS4" s="60">
        <f>IF($A4=0,1/12,IFERROR(INDEX(Parameters!$X$2:$AI$17,MATCH(Calculations!$A4,Parameters!$A$2:$A$17,0),MONTH(Calculations!AS$3)),1/12))</f>
        <v>0.1025641025641026</v>
      </c>
      <c r="AT4" s="60">
        <f>IF($A4=0,1/12,IFERROR(INDEX(Parameters!$X$2:$AI$17,MATCH(Calculations!$A4,Parameters!$A$2:$A$17,0),MONTH(Calculations!AT$3)),1/12))</f>
        <v>0.1282051282051282</v>
      </c>
      <c r="AU4" s="60">
        <f>IF($A4=0,1/12,IFERROR(INDEX(Parameters!$X$2:$AI$17,MATCH(Calculations!$A4,Parameters!$A$2:$A$17,0),MONTH(Calculations!AU$3)),1/12))</f>
        <v>0.1282051282051282</v>
      </c>
      <c r="AV4" s="60">
        <f>IF($A4=0,1/12,IFERROR(INDEX(Parameters!$X$2:$AI$17,MATCH(Calculations!$A4,Parameters!$A$2:$A$17,0),MONTH(Calculations!AV$3)),1/12))</f>
        <v>0.1282051282051282</v>
      </c>
      <c r="AW4" s="60">
        <f>IF($A4=0,1/12,IFERROR(INDEX(Parameters!$X$2:$AI$17,MATCH(Calculations!$A4,Parameters!$A$2:$A$17,0),MONTH(Calculations!AW$3)),1/12))</f>
        <v>0.1025641025641026</v>
      </c>
      <c r="AX4" s="60">
        <f>IF($A4=0,1/12,IFERROR(INDEX(Parameters!$X$2:$AI$17,MATCH(Calculations!$A4,Parameters!$A$2:$A$17,0),MONTH(Calculations!AX$3)),1/12))</f>
        <v>0.05128205128205128</v>
      </c>
      <c r="AY4" s="60">
        <f>IF($A4=0,1/12,IFERROR(INDEX(Parameters!$X$2:$AI$17,MATCH(Calculations!$A4,Parameters!$A$2:$A$17,0),MONTH(Calculations!AY$3)),1/12))</f>
        <v>0</v>
      </c>
      <c r="AZ4" s="60">
        <f>IF($A4=0,1/12,IFERROR(INDEX(Parameters!$X$2:$AI$17,MATCH(Calculations!$A4,Parameters!$A$2:$A$17,0),MONTH(Calculations!AZ$3)),1/12))</f>
        <v>0.1282051282051282</v>
      </c>
    </row>
    <row r="5" spans="1:52" s="21" customFormat="1">
      <c r="A5" s="16" t="str">
        <f>Inputs!A8</f>
        <v>Tea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940.1663093200297</v>
      </c>
      <c r="M5" s="30">
        <f>L5*H5</f>
        <v>940.1663093200297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32.2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30273.35516010495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0.6956521739130435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3000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Goat</v>
      </c>
      <c r="B14" s="20" t="str">
        <f>IFERROR(VLOOKUP(A14,Parameters!$A$23:$B$30,2,0),"")</f>
        <v>meat</v>
      </c>
      <c r="C14" s="20" t="str">
        <f>IF(Inputs!A19=Parameters!$A$30,Inputs!B19,A14&amp;": "&amp;B14)</f>
        <v>Goat: meat</v>
      </c>
      <c r="D14" s="16">
        <f>Inputs!C19</f>
        <v>5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8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6000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1000</v>
      </c>
      <c r="S14" s="63">
        <f>IFERROR(D14*INDEX(Parameters!$A$22:$P$29,MATCH(Calculations!$A14,Parameters!$A$22:$A$29,0),MATCH(Parameters!$N$22,Parameters!$A$22:$P$22,0)),"")</f>
        <v>1500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80000</v>
      </c>
      <c r="B23" s="75">
        <f>SUM(C23:D23)</f>
        <v>2913.095238095239</v>
      </c>
      <c r="C23" s="75">
        <f>IF(Inputs!B56&gt;0,(Inputs!A56-Inputs!B56)/(DATE(YEAR(Inputs!$B$76),MONTH(Inputs!$B$76),DAY(Inputs!$B$76))-DATE(YEAR(Inputs!C56),MONTH(Inputs!C56),DAY(Inputs!C56)))*30,0)</f>
        <v>1446.428571428572</v>
      </c>
      <c r="D23" s="75">
        <f>IF(Inputs!B56&gt;0,Inputs!A56*0.22/12,0)</f>
        <v>1466.666666666667</v>
      </c>
      <c r="E23" s="75">
        <f>IFERROR(ROUNDUP(Inputs!B56/C23,0),0)</f>
        <v>37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42983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42979</v>
      </c>
      <c r="F33" t="s">
        <v>161</v>
      </c>
      <c r="G33" s="128">
        <f>IF(Inputs!B79="","",DATE(YEAR(Inputs!B79),MONTH(Inputs!B79),DAY(Inputs!B79)))</f>
        <v>42943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43013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43009</v>
      </c>
      <c r="F34" t="s">
        <v>163</v>
      </c>
      <c r="G34" s="128">
        <f>IF(Inputs!B80="","",DATE(YEAR(Inputs!B80),MONTH(Inputs!B80),DAY(Inputs!B80)))</f>
        <v>42983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43044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43040</v>
      </c>
      <c r="F35" t="s">
        <v>165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43074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43070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43105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43101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43136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43132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43164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43160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43195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43191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43225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43221</v>
      </c>
      <c r="F41" t="s">
        <v>229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43256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43252</v>
      </c>
      <c r="F42" t="s">
        <v>230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43286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43317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89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95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110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110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315</v>
      </c>
      <c r="H52" s="12" t="s">
        <v>129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111</v>
      </c>
      <c r="H77" s="12" t="s">
        <v>129</v>
      </c>
      <c r="I77" s="12" t="s">
        <v>351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316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155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168</v>
      </c>
      <c r="J79" s="70" t="s">
        <v>361</v>
      </c>
      <c r="K79" s="12" t="s">
        <v>93</v>
      </c>
      <c r="AJ79" s="12"/>
    </row>
    <row r="80" spans="1:36">
      <c r="B80" s="176">
        <v>20</v>
      </c>
      <c r="C80" s="12" t="s">
        <v>154</v>
      </c>
      <c r="D80" s="12">
        <f>D79+1</f>
        <v>2</v>
      </c>
      <c r="E80" s="12" t="s">
        <v>91</v>
      </c>
      <c r="F80" s="12" t="s">
        <v>362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153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