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<sst xmlns="http://schemas.openxmlformats.org/spreadsheetml/2006/main" uniqueCount="368">
  <si>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</si>
  <si>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</si>
  <si>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</si>
  <si>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</si>
  <si>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</si>
  <si>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</si>
  <si>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</si>
  <si>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</si>
  <si>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</si>
  <si>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</si>
  <si>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</si>
  <si>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</si>
  <si>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</si>
  <si>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</si>
  <si>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</si>
  <si>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</si>
  <si>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</si>
  <si>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</si>
  <si>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</si>
  <si>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</si>
  <si>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</si>
  <si>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</si>
  <si>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</si>
  <si>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</si>
  <si>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</si>
  <si>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</si>
  <si>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</si>
  <si>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</si>
  <si>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</si>
  <si>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</si>
  <si>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</si>
  <si>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</si>
  <si>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</si>
  <si>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</si>
  <si>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</si>
  <si>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</si>
  <si>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</si>
  <si>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</si>
  <si>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</si>
  <si>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</si>
  <si>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</si>
  <si>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</si>
  <si>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</si>
  <si>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</si>
  <si>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</si>
  <si>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</si>
  <si>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</si>
  <si>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</si>
  <si>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</si>
  <si>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</si>
  <si>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</si>
  <si>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</si>
  <si>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</si>
  <si>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</si>
  <si>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</si>
  <si>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</si>
  <si>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</si>
  <si>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</si>
  <si>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</si>
  <si>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</si>
  <si>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</si>
  <si>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</si>
  <si>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</si>
  <si>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</si>
  <si>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</si>
  <si>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</si>
  <si>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</si>
  <si>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</si>
  <si>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</si>
  <si>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</si>
  <si>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</si>
  <si>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</si>
  <si>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</si>
  <si>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</si>
  <si>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</si>
  <si>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</si>
  <si>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</si>
  <si>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</si>
  <si>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</si>
  <si>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</si>
  <si>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</si>
  <si>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</si>
  <si>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</si>
  <si>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</si>
  <si>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</si>
  <si>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</si>
  <si>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</si>
  <si>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</si>
  <si>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</si>
  <si>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</si>
  <si>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Shop_common variety</t>
  </si>
  <si>
    <t>Yes both manure and inorganic</t>
  </si>
  <si>
    <t>Yes</t>
  </si>
  <si>
    <t>No</t>
  </si>
  <si>
    <t>October</t>
  </si>
  <si>
    <t>Potatoes</t>
  </si>
  <si>
    <t>Home recycled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</si>
  <si>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</si>
  <si>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</si>
  <si>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</si>
  <si>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</si>
  <si>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</si>
  <si>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</si>
  <si>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</si>
  <si>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</si>
  <si>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</si>
  <si>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</si>
  <si>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</si>
  <si>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</si>
  <si>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</si>
  <si>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</si>
  <si>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</si>
  <si>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</si>
  <si>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</si>
  <si>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</si>
  <si>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</si>
  <si>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</si>
  <si>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</si>
  <si>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</si>
  <si>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</si>
  <si>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</si>
  <si>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</si>
  <si>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</si>
  <si>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</si>
  <si>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</si>
  <si>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</si>
  <si>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</si>
  <si>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</si>
  <si>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</si>
  <si>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</si>
  <si>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</si>
  <si>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</si>
  <si>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</si>
  <si>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</si>
  <si>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</si>
  <si>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</si>
  <si>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</si>
  <si>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</si>
  <si>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</si>
  <si>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</si>
  <si>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</si>
  <si>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</si>
  <si>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</si>
  <si>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</si>
  <si>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2/20/2017</t>
  </si>
  <si>
    <t>Unaitas</t>
  </si>
  <si>
    <t>loan has been cleared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</si>
  <si>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</si>
  <si>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</si>
  <si>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</si>
  <si>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</si>
  <si>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</si>
  <si>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</si>
  <si>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</si>
  <si>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</si>
  <si>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</si>
  <si>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</si>
  <si>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</si>
  <si>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</si>
  <si>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2017/7/26</t>
  </si>
  <si>
    <t>Loan terms</t>
  </si>
  <si>
    <t>Expected disbursement date</t>
  </si>
  <si>
    <t>Expected first repayment date</t>
  </si>
  <si>
    <t>2017/8/26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</si>
  <si>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</si>
  <si>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</si>
  <si>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</si>
  <si>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</si>
  <si>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</si>
  <si>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</si>
  <si>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</si>
  <si>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</si>
  <si>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</si>
  <si>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</si>
  <si>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</si>
  <si>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</si>
  <si>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</si>
  <si>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</si>
  <si>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</si>
  <si>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</si>
  <si>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</si>
  <si>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</si>
  <si>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</si>
  <si>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</si>
  <si>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</si>
  <si>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</si>
  <si>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</si>
  <si>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</si>
  <si>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</si>
  <si>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</si>
  <si>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</si>
  <si>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</si>
  <si>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</si>
  <si>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</si>
  <si>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</si>
  <si>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</si>
  <si>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</si>
  <si>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</si>
  <si>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</si>
  <si>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</si>
  <si>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</si>
  <si>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</si>
  <si>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</si>
  <si>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</si>
  <si>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</si>
  <si>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</si>
  <si>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</si>
  <si>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</si>
  <si>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</si>
  <si>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</si>
  <si>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</si>
  <si>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</si>
  <si>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</si>
  <si>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</si>
  <si>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</si>
  <si>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</si>
  <si>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</si>
  <si>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</si>
  <si>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</si>
  <si>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</si>
  <si>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</si>
  <si>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</si>
  <si>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</si>
  <si>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</si>
  <si>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</si>
  <si>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</si>
  <si>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</si>
  <si>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</si>
  <si>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</si>
  <si>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</si>
  <si>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</si>
  <si>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</si>
  <si>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</si>
  <si>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</si>
  <si>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</si>
  <si>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</si>
  <si>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</si>
  <si>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</si>
  <si>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</si>
  <si>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</si>
  <si>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</si>
  <si>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</si>
  <si>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</si>
  <si>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</si>
  <si>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</si>
  <si>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</si>
  <si>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</si>
  <si>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</si>
  <si>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</si>
  <si>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</si>
  <si>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</si>
  <si>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</si>
  <si>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</si>
  <si>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</si>
  <si>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</si>
  <si>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</si>
  <si>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</si>
  <si>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</si>
  <si>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</si>
  <si>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</si>
  <si>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</si>
  <si>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</si>
  <si>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</si>
  <si>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</si>
  <si>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</si>
  <si>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</si>
  <si>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</si>
  <si>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</si>
  <si>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</si>
  <si>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</si>
  <si>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</si>
  <si>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</si>
  <si>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</si>
  <si>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</si>
  <si>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</si>
  <si>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</si>
  <si>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</si>
  <si>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</si>
  <si>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</si>
  <si>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</si>
  <si>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</si>
  <si>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</si>
  <si>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</si>
  <si>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</si>
  <si>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</si>
  <si>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</si>
  <si>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</si>
  <si>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</si>
  <si>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</si>
  <si>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</si>
  <si>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</si>
  <si>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</si>
  <si>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</si>
  <si>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</si>
  <si>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</si>
  <si>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</si>
  <si>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</si>
  <si>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</si>
  <si>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</si>
  <si>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</si>
  <si>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</si>
  <si>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</si>
  <si>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</si>
  <si>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</si>
  <si>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</si>
  <si>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</si>
  <si>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</si>
  <si>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</si>
  <si>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</si>
  <si>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</si>
  <si>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</si>
  <si>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</si>
  <si>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</si>
  <si>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</si>
  <si>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</si>
  <si>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</si>
  <si>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</si>
  <si>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</si>
  <si>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</si>
  <si>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</si>
  <si>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</si>
  <si>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</si>
  <si>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</si>
  <si>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</si>
  <si>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</si>
  <si>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</si>
  <si>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</si>
  <si>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</si>
  <si>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</si>
  <si>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</si>
  <si>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</si>
  <si>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</si>
  <si>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</si>
  <si>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</si>
  <si>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</si>
  <si>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</si>
  <si>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</si>
  <si>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</si>
  <si>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</si>
  <si>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</si>
  <si>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</si>
  <si>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</si>
  <si>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</si>
  <si>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</si>
  <si>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</si>
  <si>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</si>
  <si>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</si>
  <si>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</si>
  <si>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</si>
  <si>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</si>
  <si>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</si>
  <si>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</si>
  <si>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</si>
  <si>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</si>
  <si>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</si>
  <si>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</si>
  <si>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</si>
  <si>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</si>
  <si>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</si>
  <si>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</si>
  <si>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</si>
  <si>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Yes without the use of a pump</t>
  </si>
  <si>
    <t>Shop_certified variety</t>
  </si>
  <si>
    <t>NGO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</si>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</sst>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Vegetable 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0.2122445505917232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0.01823121038333837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798198.6672398837</v>
      </c>
    </row>
    <row r="18" spans="1:7">
      <c r="B18" s="1" t="s">
        <v>12</v>
      </c>
      <c r="C18" s="36">
        <f>MIN(Output!B6:M6)</f>
        <v>-92593.37040221578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359113.4453989416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359113.4453989416</v>
      </c>
      <c r="C6" s="51">
        <f>C30-C88</f>
        <v>163637.3698298633</v>
      </c>
      <c r="D6" s="51">
        <f>D30-D88</f>
        <v>1380.629597784231</v>
      </c>
      <c r="E6" s="51">
        <f>E30-E88</f>
        <v>-92593.37040221578</v>
      </c>
      <c r="F6" s="51">
        <f>F30-F88</f>
        <v>-4169.370402215769</v>
      </c>
      <c r="G6" s="51">
        <f>G30-G88</f>
        <v>-28269.37040221578</v>
      </c>
      <c r="H6" s="51">
        <f>H30-H88</f>
        <v>359113.4453989416</v>
      </c>
      <c r="I6" s="51">
        <f>I30-I88</f>
        <v>163637.3698298633</v>
      </c>
      <c r="J6" s="51">
        <f>J30-J88</f>
        <v>1380.629597784231</v>
      </c>
      <c r="K6" s="51">
        <f>K30-K88</f>
        <v>-92593.37040221578</v>
      </c>
      <c r="L6" s="51">
        <f>L30-L88</f>
        <v>-4169.370402215769</v>
      </c>
      <c r="M6" s="51">
        <f>M30-M88</f>
        <v>-28269.37040221578</v>
      </c>
      <c r="N6" s="51">
        <f>N30-N88</f>
        <v>359113.4453989416</v>
      </c>
      <c r="O6" s="51">
        <f>O30-O88</f>
        <v>163637.3698298633</v>
      </c>
      <c r="P6" s="51">
        <f>P30-P88</f>
        <v>1380.629597784231</v>
      </c>
      <c r="Q6" s="51">
        <f>Q30-Q88</f>
        <v>-92593.37040221578</v>
      </c>
      <c r="R6" s="51">
        <f>R30-R88</f>
        <v>-4169.370402215769</v>
      </c>
      <c r="S6" s="51">
        <f>S30-S88</f>
        <v>-28269.37040221578</v>
      </c>
      <c r="T6" s="51">
        <f>T30-T88</f>
        <v>359113.4453989416</v>
      </c>
      <c r="U6" s="51">
        <f>U30-U88</f>
        <v>163637.3698298633</v>
      </c>
      <c r="V6" s="51">
        <f>V30-V88</f>
        <v>1380.629597784231</v>
      </c>
      <c r="W6" s="51">
        <f>W30-W88</f>
        <v>-92593.37040221578</v>
      </c>
      <c r="X6" s="51">
        <f>X30-X88</f>
        <v>-4169.370402215769</v>
      </c>
      <c r="Y6" s="51">
        <f>Y30-Y88</f>
        <v>-28269.37040221578</v>
      </c>
      <c r="Z6" s="51">
        <f>SUMIF($B$13:$Y$13,"Yes",B6:Y6)</f>
        <v>1596397.334479768</v>
      </c>
      <c r="AA6" s="51">
        <f>AA30-AA88</f>
        <v>798198.6672398838</v>
      </c>
      <c r="AB6" s="51">
        <f>AB30-AB88</f>
        <v>1596397.334479767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10000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5500</v>
      </c>
      <c r="J7" s="80">
        <f>IF(ISERROR(VLOOKUP(MONTH(J5),Inputs!$D$66:$D$71,1,0)),"",INDEX(Inputs!$B$66:$B$71,MATCH(MONTH(Output!J5),Inputs!$D$66:$D$71,0))-INDEX(Inputs!$C$66:$C$71,MATCH(MONTH(Output!J5),Inputs!$D$66:$D$71,0)))</f>
        <v>50000</v>
      </c>
      <c r="K7" s="80">
        <f>IF(ISERROR(VLOOKUP(MONTH(K5),Inputs!$D$66:$D$71,1,0)),"",INDEX(Inputs!$B$66:$B$71,MATCH(MONTH(Output!K5),Inputs!$D$66:$D$71,0))-INDEX(Inputs!$C$66:$C$71,MATCH(MONTH(Output!K5),Inputs!$D$66:$D$71,0)))</f>
        <v>12000</v>
      </c>
      <c r="L7" s="80">
        <f>IF(ISERROR(VLOOKUP(MONTH(L5),Inputs!$D$66:$D$71,1,0)),"",INDEX(Inputs!$B$66:$B$71,MATCH(MONTH(Output!L5),Inputs!$D$66:$D$71,0))-INDEX(Inputs!$C$66:$C$71,MATCH(MONTH(Output!L5),Inputs!$D$66:$D$71,0)))</f>
        <v>4000</v>
      </c>
      <c r="M7" s="80">
        <f>IF(ISERROR(VLOOKUP(MONTH(M5),Inputs!$D$66:$D$71,1,0)),"",INDEX(Inputs!$B$66:$B$71,MATCH(MONTH(Output!M5),Inputs!$D$66:$D$71,0))-INDEX(Inputs!$C$66:$C$71,MATCH(MONTH(Output!M5),Inputs!$D$66:$D$71,0)))</f>
        <v>18800</v>
      </c>
      <c r="N7" s="80">
        <f>IF(ISERROR(VLOOKUP(MONTH(N5),Inputs!$D$66:$D$71,1,0)),"",INDEX(Inputs!$B$66:$B$71,MATCH(MONTH(Output!N5),Inputs!$D$66:$D$71,0))-INDEX(Inputs!$C$66:$C$71,MATCH(MONTH(Output!N5),Inputs!$D$66:$D$71,0)))</f>
        <v>10000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5500</v>
      </c>
      <c r="V7" s="80">
        <f>IF(ISERROR(VLOOKUP(MONTH(V5),Inputs!$D$66:$D$71,1,0)),"",INDEX(Inputs!$B$66:$B$71,MATCH(MONTH(Output!V5),Inputs!$D$66:$D$71,0))-INDEX(Inputs!$C$66:$C$71,MATCH(MONTH(Output!V5),Inputs!$D$66:$D$71,0)))</f>
        <v>50000</v>
      </c>
      <c r="W7" s="80">
        <f>IF(ISERROR(VLOOKUP(MONTH(W5),Inputs!$D$66:$D$71,1,0)),"",INDEX(Inputs!$B$66:$B$71,MATCH(MONTH(Output!W5),Inputs!$D$66:$D$71,0))-INDEX(Inputs!$C$66:$C$71,MATCH(MONTH(Output!W5),Inputs!$D$66:$D$71,0)))</f>
        <v>12000</v>
      </c>
      <c r="X7" s="80">
        <f>IF(ISERROR(VLOOKUP(MONTH(X5),Inputs!$D$66:$D$71,1,0)),"",INDEX(Inputs!$B$66:$B$71,MATCH(MONTH(Output!X5),Inputs!$D$66:$D$71,0))-INDEX(Inputs!$C$66:$C$71,MATCH(MONTH(Output!X5),Inputs!$D$66:$D$71,0)))</f>
        <v>4000</v>
      </c>
      <c r="Y7" s="80">
        <f>IF(ISERROR(VLOOKUP(MONTH(Y5),Inputs!$D$66:$D$71,1,0)),"",INDEX(Inputs!$B$66:$B$71,MATCH(MONTH(Output!Y5),Inputs!$D$66:$D$71,0))-INDEX(Inputs!$C$66:$C$71,MATCH(MONTH(Output!Y5),Inputs!$D$66:$D$71,0)))</f>
        <v>18800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659113.4453989416</v>
      </c>
      <c r="C11" s="80">
        <f>C6+C9-C10</f>
        <v>146137.3698298633</v>
      </c>
      <c r="D11" s="80">
        <f>D6+D9-D10</f>
        <v>-16119.37040221577</v>
      </c>
      <c r="E11" s="80">
        <f>E6+E9-E10</f>
        <v>-110093.3704022158</v>
      </c>
      <c r="F11" s="80">
        <f>F6+F9-F10</f>
        <v>-21669.37040221577</v>
      </c>
      <c r="G11" s="80">
        <f>G6+G9-G10</f>
        <v>-45769.37040221578</v>
      </c>
      <c r="H11" s="80">
        <f>H6+H9-H10</f>
        <v>341613.4453989416</v>
      </c>
      <c r="I11" s="80">
        <f>I6+I9-I10</f>
        <v>146137.3698298633</v>
      </c>
      <c r="J11" s="80">
        <f>J6+J9-J10</f>
        <v>-16119.37040221577</v>
      </c>
      <c r="K11" s="80">
        <f>K6+K9-K10</f>
        <v>-110093.3704022158</v>
      </c>
      <c r="L11" s="80">
        <f>L6+L9-L10</f>
        <v>-21669.37040221577</v>
      </c>
      <c r="M11" s="80">
        <f>M6+M9-M10</f>
        <v>-45769.37040221578</v>
      </c>
      <c r="N11" s="80">
        <f>N6+N9-N10</f>
        <v>341613.4453989416</v>
      </c>
      <c r="O11" s="80">
        <f>O6+O9-O10</f>
        <v>146137.3698298633</v>
      </c>
      <c r="P11" s="80">
        <f>P6+P9-P10</f>
        <v>-16119.37040221577</v>
      </c>
      <c r="Q11" s="80">
        <f>Q6+Q9-Q10</f>
        <v>-110093.3704022158</v>
      </c>
      <c r="R11" s="80">
        <f>R6+R9-R10</f>
        <v>-21669.37040221577</v>
      </c>
      <c r="S11" s="80">
        <f>S6+S9-S10</f>
        <v>-45769.37040221578</v>
      </c>
      <c r="T11" s="80">
        <f>T6+T9-T10</f>
        <v>341613.4453989416</v>
      </c>
      <c r="U11" s="80">
        <f>U6+U9-U10</f>
        <v>146137.3698298633</v>
      </c>
      <c r="V11" s="80">
        <f>V6+V9-V10</f>
        <v>-16119.37040221577</v>
      </c>
      <c r="W11" s="80">
        <f>W6+W9-W10</f>
        <v>-110093.3704022158</v>
      </c>
      <c r="X11" s="80">
        <f>X6+X9-X10</f>
        <v>-21669.37040221577</v>
      </c>
      <c r="Y11" s="80">
        <f>Y6+Y9-Y10</f>
        <v>-45769.37040221578</v>
      </c>
      <c r="Z11" s="85">
        <f>SUMIF($B$13:$Y$13,"Yes",B11:Y11)</f>
        <v>1493897.334479768</v>
      </c>
      <c r="AA11" s="80">
        <f>SUM(B11:M11)</f>
        <v>905698.6672398839</v>
      </c>
      <c r="AB11" s="46">
        <f>SUM(B11:Y11)</f>
        <v>1493897.334479768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0.02127010958370584</v>
      </c>
      <c r="D12" s="82">
        <f>IF(D13="Yes",IF(SUM($B$10:D10)/(SUM($B$6:D6)+SUM($B$9:D9))&lt;0,999.99,SUM($B$10:D10)/(SUM($B$6:D6)+SUM($B$9:D9))),"")</f>
        <v>0.04246895349001587</v>
      </c>
      <c r="E12" s="82">
        <f>IF(E13="Yes",IF(SUM($B$10:E10)/(SUM($B$6:E6)+SUM($B$9:E9))&lt;0,999.99,SUM($B$10:E10)/(SUM($B$6:E6)+SUM($B$9:E9))),"")</f>
        <v>0.07176659949150394</v>
      </c>
      <c r="F12" s="82">
        <f>IF(F13="Yes",IF(SUM($B$10:F10)/(SUM($B$6:F6)+SUM($B$9:F9))&lt;0,999.99,SUM($B$10:F10)/(SUM($B$6:F6)+SUM($B$9:F9))),"")</f>
        <v>0.09623729975309415</v>
      </c>
      <c r="G12" s="82">
        <f>IF(G13="Yes",IF(SUM($B$10:G10)/(SUM($B$6:G6)+SUM($B$9:G9))&lt;0,999.99,SUM($B$10:G10)/(SUM($B$6:G6)+SUM($B$9:G9))),"")</f>
        <v>0.1251610404875146</v>
      </c>
      <c r="H12" s="82">
        <f>IF(H13="Yes",IF(SUM($B$10:H10)/(SUM($B$6:H6)+SUM($B$9:H9))&lt;0,999.99,SUM($B$10:H10)/(SUM($B$6:H6)+SUM($B$9:H9))),"")</f>
        <v>0.09922390097892241</v>
      </c>
      <c r="I12" s="82">
        <f>IF(I13="Yes",IF(SUM($B$10:I10)/(SUM($B$6:I6)+SUM($B$9:I9))&lt;0,999.99,SUM($B$10:I10)/(SUM($B$6:I6)+SUM($B$9:I9))),"")</f>
        <v>0.1002577935726587</v>
      </c>
      <c r="J12" s="82">
        <f>IF(J13="Yes",IF(SUM($B$10:J10)/(SUM($B$6:J6)+SUM($B$9:J9))&lt;0,999.99,SUM($B$10:J10)/(SUM($B$6:J6)+SUM($B$9:J9))),"")</f>
        <v>0.1144510115889956</v>
      </c>
      <c r="K12" s="82">
        <f>IF(K13="Yes",IF(SUM($B$10:K10)/(SUM($B$6:K6)+SUM($B$9:K9))&lt;0,999.99,SUM($B$10:K10)/(SUM($B$6:K6)+SUM($B$9:K9))),"")</f>
        <v>0.1393019538177414</v>
      </c>
      <c r="L12" s="82">
        <f>IF(L13="Yes",IF(SUM($B$10:L10)/(SUM($B$6:L6)+SUM($B$9:L9))&lt;0,999.99,SUM($B$10:L10)/(SUM($B$6:L6)+SUM($B$9:L9))),"")</f>
        <v>0.1553528321729452</v>
      </c>
      <c r="M12" s="82">
        <f>IF(M13="Yes",IF(SUM($B$10:M10)/(SUM($B$6:M6)+SUM($B$9:M9))&lt;0,999.99,SUM($B$10:M10)/(SUM($B$6:M6)+SUM($B$9:M9))),"")</f>
        <v>0.1752870457253537</v>
      </c>
      <c r="N12" s="82">
        <f>IF(N13="Yes",IF(SUM($B$10:N10)/(SUM($B$6:N6)+SUM($B$9:N9))&lt;0,999.99,SUM($B$10:N10)/(SUM($B$6:N6)+SUM($B$9:N9))),"")</f>
        <v>0.144100908912191</v>
      </c>
      <c r="O12" s="82">
        <f>IF(O13="Yes",IF(SUM($B$10:O10)/(SUM($B$6:O6)+SUM($B$9:O9))&lt;0,999.99,SUM($B$10:O10)/(SUM($B$6:O6)+SUM($B$9:O9))),"")</f>
        <v>0.1403498396837883</v>
      </c>
      <c r="P12" s="82">
        <f>IF(P13="Yes",IF(SUM($B$10:P10)/(SUM($B$6:P6)+SUM($B$9:P9))&lt;0,999.99,SUM($B$10:P10)/(SUM($B$6:P6)+SUM($B$9:P9))),"")</f>
        <v>0.1510173534829645</v>
      </c>
      <c r="Q12" s="82">
        <f>IF(Q13="Yes",IF(SUM($B$10:Q10)/(SUM($B$6:Q6)+SUM($B$9:Q9))&lt;0,999.99,SUM($B$10:Q10)/(SUM($B$6:Q6)+SUM($B$9:Q9))),"")</f>
        <v>0.1715981533622684</v>
      </c>
      <c r="R12" s="82">
        <f>IF(R13="Yes",IF(SUM($B$10:R10)/(SUM($B$6:R6)+SUM($B$9:R9))&lt;0,999.99,SUM($B$10:R10)/(SUM($B$6:R6)+SUM($B$9:R9))),"")</f>
        <v>0.1835382725630577</v>
      </c>
      <c r="S12" s="82">
        <f>IF(S13="Yes",IF(SUM($B$10:S10)/(SUM($B$6:S6)+SUM($B$9:S9))&lt;0,999.99,SUM($B$10:S10)/(SUM($B$6:S6)+SUM($B$9:S9))),"")</f>
        <v>0.1986912423773759</v>
      </c>
      <c r="T12" s="82">
        <f>IF(T13="Yes",IF(SUM($B$10:T10)/(SUM($B$6:T6)+SUM($B$9:T9))&lt;0,999.99,SUM($B$10:T10)/(SUM($B$6:T6)+SUM($B$9:T9))),"")</f>
        <v>0.169682211685788</v>
      </c>
      <c r="U12" s="82">
        <f>IF(U13="Yes",IF(SUM($B$10:U10)/(SUM($B$6:U6)+SUM($B$9:U9))&lt;0,999.99,SUM($B$10:U10)/(SUM($B$6:U6)+SUM($B$9:U9))),"")</f>
        <v>0.1645999826102279</v>
      </c>
      <c r="V12" s="82">
        <f>IF(V13="Yes",IF(SUM($B$10:V10)/(SUM($B$6:V6)+SUM($B$9:V9))&lt;0,999.99,SUM($B$10:V10)/(SUM($B$6:V6)+SUM($B$9:V9))),"")</f>
        <v>0.1731448014408195</v>
      </c>
      <c r="W12" s="82">
        <f>IF(W13="Yes",IF(SUM($B$10:W10)/(SUM($B$6:W6)+SUM($B$9:W9))&lt;0,999.99,SUM($B$10:W10)/(SUM($B$6:W6)+SUM($B$9:W9))),"")</f>
        <v>0.1905294103055656</v>
      </c>
      <c r="X12" s="82">
        <f>IF(X13="Yes",IF(SUM($B$10:X10)/(SUM($B$6:X6)+SUM($B$9:X9))&lt;0,999.99,SUM($B$10:X10)/(SUM($B$6:X6)+SUM($B$9:X9))),"")</f>
        <v>0.2000346340607619</v>
      </c>
      <c r="Y12" s="82">
        <f>IF(Y13="Yes",IF(SUM($B$10:Y10)/(SUM($B$6:Y6)+SUM($B$9:Y9))&lt;0,999.99,SUM($B$10:Y10)/(SUM($B$6:Y6)+SUM($B$9:Y9))),"")</f>
        <v>0.2122445505917232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363282.8158011574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363282.8158011574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363282.8158011574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363282.8158011574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1453131.26320463</v>
      </c>
      <c r="AA18" s="36">
        <f>SUM(B18:M18)</f>
        <v>726565.6316023148</v>
      </c>
      <c r="AB18" s="36">
        <f>SUM(B18:Y18)</f>
        <v>1453131.26320463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164056.740232079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164056.740232079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164056.740232079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164056.740232079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656226.9609283161</v>
      </c>
      <c r="AA19" s="36">
        <f>SUM(B19:M19)</f>
        <v>328113.4804641581</v>
      </c>
      <c r="AB19" s="36">
        <f>SUM(B19:Y19)</f>
        <v>656226.9609283161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5599.999999999999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9199.999999999998</v>
      </c>
      <c r="C24" s="36">
        <f>IFERROR(Calculations!$P14/12,"")</f>
        <v>9199.999999999998</v>
      </c>
      <c r="D24" s="36">
        <f>IFERROR(Calculations!$P14/12,"")</f>
        <v>9199.999999999998</v>
      </c>
      <c r="E24" s="36">
        <f>IFERROR(Calculations!$P14/12,"")</f>
        <v>9199.999999999998</v>
      </c>
      <c r="F24" s="36">
        <f>IFERROR(Calculations!$P14/12,"")</f>
        <v>9199.999999999998</v>
      </c>
      <c r="G24" s="36">
        <f>IFERROR(Calculations!$P14/12,"")</f>
        <v>9199.999999999998</v>
      </c>
      <c r="H24" s="36">
        <f>IFERROR(Calculations!$P14/12,"")</f>
        <v>9199.999999999998</v>
      </c>
      <c r="I24" s="36">
        <f>IFERROR(Calculations!$P14/12,"")</f>
        <v>9199.999999999998</v>
      </c>
      <c r="J24" s="36">
        <f>IFERROR(Calculations!$P14/12,"")</f>
        <v>9199.999999999998</v>
      </c>
      <c r="K24" s="36">
        <f>IFERROR(Calculations!$P14/12,"")</f>
        <v>9199.999999999998</v>
      </c>
      <c r="L24" s="36">
        <f>IFERROR(Calculations!$P14/12,"")</f>
        <v>9199.999999999998</v>
      </c>
      <c r="M24" s="36">
        <f>IFERROR(Calculations!$P14/12,"")</f>
        <v>9199.999999999998</v>
      </c>
      <c r="N24" s="36">
        <f>IFERROR(Calculations!$P14/12,"")</f>
        <v>9199.999999999998</v>
      </c>
      <c r="O24" s="36">
        <f>IFERROR(Calculations!$P14/12,"")</f>
        <v>9199.999999999998</v>
      </c>
      <c r="P24" s="36">
        <f>IFERROR(Calculations!$P14/12,"")</f>
        <v>9199.999999999998</v>
      </c>
      <c r="Q24" s="36">
        <f>IFERROR(Calculations!$P14/12,"")</f>
        <v>9199.999999999998</v>
      </c>
      <c r="R24" s="36">
        <f>IFERROR(Calculations!$P14/12,"")</f>
        <v>9199.999999999998</v>
      </c>
      <c r="S24" s="36">
        <f>IFERROR(Calculations!$P14/12,"")</f>
        <v>9199.999999999998</v>
      </c>
      <c r="T24" s="36">
        <f>IFERROR(Calculations!$P14/12,"")</f>
        <v>9199.999999999998</v>
      </c>
      <c r="U24" s="36">
        <f>IFERROR(Calculations!$P14/12,"")</f>
        <v>9199.999999999998</v>
      </c>
      <c r="V24" s="36">
        <f>IFERROR(Calculations!$P14/12,"")</f>
        <v>9199.999999999998</v>
      </c>
      <c r="W24" s="36">
        <f>IFERROR(Calculations!$P14/12,"")</f>
        <v>9199.999999999998</v>
      </c>
      <c r="X24" s="36">
        <f>IFERROR(Calculations!$P14/12,"")</f>
        <v>9199.999999999998</v>
      </c>
      <c r="Y24" s="36">
        <f>IFERROR(Calculations!$P14/12,"")</f>
        <v>9199.999999999998</v>
      </c>
      <c r="Z24" s="36">
        <f>SUMIF($B$13:$Y$13,"Yes",B24:Y24)</f>
        <v>220800</v>
      </c>
      <c r="AA24" s="36">
        <f>SUM(B24:M24)</f>
        <v>110400</v>
      </c>
      <c r="AB24" s="46">
        <f>SUM(B24:Y24)</f>
        <v>220800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417482.8158011574</v>
      </c>
      <c r="C30" s="19">
        <f>SUM(C18:C29)</f>
        <v>218256.740232079</v>
      </c>
      <c r="D30" s="19">
        <f>SUM(D18:D29)</f>
        <v>54200</v>
      </c>
      <c r="E30" s="19">
        <f>SUM(E18:E29)</f>
        <v>54200</v>
      </c>
      <c r="F30" s="19">
        <f>SUM(F18:F29)</f>
        <v>54200</v>
      </c>
      <c r="G30" s="19">
        <f>SUM(G18:G29)</f>
        <v>54200</v>
      </c>
      <c r="H30" s="19">
        <f>SUM(H18:H29)</f>
        <v>417482.8158011574</v>
      </c>
      <c r="I30" s="19">
        <f>SUM(I18:I29)</f>
        <v>218256.740232079</v>
      </c>
      <c r="J30" s="19">
        <f>SUM(J18:J29)</f>
        <v>54200</v>
      </c>
      <c r="K30" s="19">
        <f>SUM(K18:K29)</f>
        <v>54200</v>
      </c>
      <c r="L30" s="19">
        <f>SUM(L18:L29)</f>
        <v>54200</v>
      </c>
      <c r="M30" s="19">
        <f>SUM(M18:M29)</f>
        <v>54200</v>
      </c>
      <c r="N30" s="19">
        <f>SUM(N18:N29)</f>
        <v>417482.8158011574</v>
      </c>
      <c r="O30" s="19">
        <f>SUM(O18:O29)</f>
        <v>218256.740232079</v>
      </c>
      <c r="P30" s="19">
        <f>SUM(P18:P29)</f>
        <v>54200</v>
      </c>
      <c r="Q30" s="19">
        <f>SUM(Q18:Q29)</f>
        <v>54200</v>
      </c>
      <c r="R30" s="19">
        <f>SUM(R18:R29)</f>
        <v>54200</v>
      </c>
      <c r="S30" s="19">
        <f>SUM(S18:S29)</f>
        <v>54200</v>
      </c>
      <c r="T30" s="19">
        <f>SUM(T18:T29)</f>
        <v>417482.8158011574</v>
      </c>
      <c r="U30" s="19">
        <f>SUM(U18:U29)</f>
        <v>218256.740232079</v>
      </c>
      <c r="V30" s="19">
        <f>SUM(V18:V29)</f>
        <v>54200</v>
      </c>
      <c r="W30" s="19">
        <f>SUM(W18:W29)</f>
        <v>54200</v>
      </c>
      <c r="X30" s="19">
        <f>SUM(X18:X29)</f>
        <v>54200</v>
      </c>
      <c r="Y30" s="19">
        <f>SUM(Y18:Y29)</f>
        <v>54200</v>
      </c>
      <c r="Z30" s="19">
        <f>SUMIF($B$13:$Y$13,"Yes",B30:Y30)</f>
        <v>3410158.224132945</v>
      </c>
      <c r="AA30" s="19">
        <f>SUM(B30:M30)</f>
        <v>1705079.112066473</v>
      </c>
      <c r="AB30" s="19">
        <f>SUM(B30:Y30)</f>
        <v>3410158.224132945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14000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14000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14000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14000</v>
      </c>
      <c r="X36" s="36">
        <f>SUM(X37:X41)</f>
        <v>0</v>
      </c>
      <c r="Y36" s="36">
        <f>SUM(Y37:Y41)</f>
        <v>0</v>
      </c>
      <c r="Z36" s="36">
        <f>SUMIF($B$13:$Y$13,"Yes",B36:Y36)</f>
        <v>56000</v>
      </c>
      <c r="AA36" s="36">
        <f>SUM(B36:M36)</f>
        <v>28000</v>
      </c>
      <c r="AB36" s="36">
        <f>SUM(B36:Y36)</f>
        <v>56000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8000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6000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6000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6000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6000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74424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74424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74424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74424</v>
      </c>
      <c r="X42" s="36">
        <f>SUM(X43:X47)</f>
        <v>0</v>
      </c>
      <c r="Y42" s="36">
        <f>SUM(Y43:Y47)</f>
        <v>0</v>
      </c>
      <c r="Z42" s="36">
        <f>SUMIF($B$13:$Y$13,"Yes",B42:Y42)</f>
        <v>297696</v>
      </c>
      <c r="AA42" s="36">
        <f>SUM(B42:M42)</f>
        <v>148848</v>
      </c>
      <c r="AB42" s="36">
        <f>SUM(B42:Y42)</f>
        <v>297696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2424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2424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9696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72000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72000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72000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72000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288000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24100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24100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24100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24100</v>
      </c>
      <c r="Z48" s="46">
        <f>SUMIF($B$13:$Y$13,"Yes",B48:Y48)</f>
        <v>96400</v>
      </c>
      <c r="AA48" s="46">
        <f>SUM(B48:M48)</f>
        <v>48200</v>
      </c>
      <c r="AB48" s="46">
        <f>SUM(B48:Y48)</f>
        <v>96400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11200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11200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11200</v>
      </c>
      <c r="Z49" s="46">
        <f>SUMIF($B$13:$Y$13,"Yes",B49:Y49)</f>
        <v>44800</v>
      </c>
      <c r="AA49" s="46">
        <f>SUM(B49:M49)</f>
        <v>22400</v>
      </c>
      <c r="AB49" s="46">
        <f>SUM(B49:Y49)</f>
        <v>44800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12900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12900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12900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12900</v>
      </c>
      <c r="Z50" s="46">
        <f>SUMIF($B$13:$Y$13,"Yes",B50:Y50)</f>
        <v>51600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5550</v>
      </c>
      <c r="C66" s="36">
        <f>O66</f>
        <v>1800</v>
      </c>
      <c r="D66" s="36">
        <f>P66</f>
        <v>0</v>
      </c>
      <c r="E66" s="36">
        <f>Q66</f>
        <v>5550</v>
      </c>
      <c r="F66" s="36">
        <f>R66</f>
        <v>5550</v>
      </c>
      <c r="G66" s="36">
        <f>S66</f>
        <v>5550</v>
      </c>
      <c r="H66" s="36">
        <f>T66</f>
        <v>5550</v>
      </c>
      <c r="I66" s="36">
        <f>U66</f>
        <v>1800</v>
      </c>
      <c r="J66" s="36">
        <f>V66</f>
        <v>0</v>
      </c>
      <c r="K66" s="36">
        <f>W66</f>
        <v>5550</v>
      </c>
      <c r="L66" s="36">
        <f>X66</f>
        <v>5550</v>
      </c>
      <c r="M66" s="36">
        <f>Y66</f>
        <v>5550</v>
      </c>
      <c r="N66" s="46">
        <f>SUM(N67:N71)</f>
        <v>5550</v>
      </c>
      <c r="O66" s="46">
        <f>SUM(O67:O71)</f>
        <v>1800</v>
      </c>
      <c r="P66" s="46">
        <f>SUM(P67:P71)</f>
        <v>0</v>
      </c>
      <c r="Q66" s="46">
        <f>SUM(Q67:Q71)</f>
        <v>5550</v>
      </c>
      <c r="R66" s="46">
        <f>SUM(R67:R71)</f>
        <v>5550</v>
      </c>
      <c r="S66" s="46">
        <f>SUM(S67:S71)</f>
        <v>5550</v>
      </c>
      <c r="T66" s="46">
        <f>SUM(T67:T71)</f>
        <v>5550</v>
      </c>
      <c r="U66" s="46">
        <f>SUM(U67:U71)</f>
        <v>1800</v>
      </c>
      <c r="V66" s="46">
        <f>SUM(V67:V71)</f>
        <v>0</v>
      </c>
      <c r="W66" s="46">
        <f>SUM(W67:W71)</f>
        <v>5550</v>
      </c>
      <c r="X66" s="46">
        <f>SUM(X67:X71)</f>
        <v>5550</v>
      </c>
      <c r="Y66" s="46">
        <f>SUM(Y67:Y71)</f>
        <v>5550</v>
      </c>
      <c r="Z66" s="46">
        <f>SUMIF($B$13:$Y$13,"Yes",B66:Y66)</f>
        <v>96000</v>
      </c>
      <c r="AA66" s="46">
        <f>SUM(B66:M66)</f>
        <v>48000</v>
      </c>
      <c r="AB66" s="46">
        <f>SUM(B66:Y66)</f>
        <v>96000</v>
      </c>
    </row>
    <row r="67" spans="1:30" hidden="true" outlineLevel="1">
      <c r="A67" s="181" t="str">
        <f>Calculations!$A$4</f>
        <v>Cabbages</v>
      </c>
      <c r="B67" s="36">
        <f>N67</f>
        <v>3750</v>
      </c>
      <c r="C67" s="36">
        <f>O67</f>
        <v>0</v>
      </c>
      <c r="D67" s="36">
        <f>P67</f>
        <v>0</v>
      </c>
      <c r="E67" s="36">
        <f>Q67</f>
        <v>3750</v>
      </c>
      <c r="F67" s="36">
        <f>R67</f>
        <v>3750</v>
      </c>
      <c r="G67" s="36">
        <f>S67</f>
        <v>3750</v>
      </c>
      <c r="H67" s="36">
        <f>T67</f>
        <v>3750</v>
      </c>
      <c r="I67" s="36">
        <f>U67</f>
        <v>0</v>
      </c>
      <c r="J67" s="36">
        <f>V67</f>
        <v>0</v>
      </c>
      <c r="K67" s="36">
        <f>W67</f>
        <v>3750</v>
      </c>
      <c r="L67" s="36">
        <f>X67</f>
        <v>3750</v>
      </c>
      <c r="M67" s="36">
        <f>Y67</f>
        <v>3750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3750</v>
      </c>
      <c r="Z67" s="46">
        <f>SUMIF($B$13:$Y$13,"Yes",B67:Y67)</f>
        <v>60000</v>
      </c>
      <c r="AA67" s="46">
        <f>SUM(B67:M67)</f>
        <v>30000</v>
      </c>
      <c r="AB67" s="46">
        <f>SUM(B67:Y67)</f>
        <v>60000</v>
      </c>
    </row>
    <row r="68" spans="1:30" hidden="true" outlineLevel="1">
      <c r="A68" s="181" t="str">
        <f>Calculations!$A$5</f>
        <v>Potatoes</v>
      </c>
      <c r="B68" s="36">
        <f>N68</f>
        <v>1800</v>
      </c>
      <c r="C68" s="36">
        <f>O68</f>
        <v>1800</v>
      </c>
      <c r="D68" s="36">
        <f>P68</f>
        <v>0</v>
      </c>
      <c r="E68" s="36">
        <f>Q68</f>
        <v>1800</v>
      </c>
      <c r="F68" s="36">
        <f>R68</f>
        <v>1800</v>
      </c>
      <c r="G68" s="36">
        <f>S68</f>
        <v>1800</v>
      </c>
      <c r="H68" s="36">
        <f>T68</f>
        <v>1800</v>
      </c>
      <c r="I68" s="36">
        <f>U68</f>
        <v>1800</v>
      </c>
      <c r="J68" s="36">
        <f>V68</f>
        <v>0</v>
      </c>
      <c r="K68" s="36">
        <f>W68</f>
        <v>1800</v>
      </c>
      <c r="L68" s="36">
        <f>X68</f>
        <v>1800</v>
      </c>
      <c r="M68" s="36">
        <f>Y68</f>
        <v>1800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1800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1800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1800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1800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1800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1800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1800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1800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1800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1800</v>
      </c>
      <c r="Z68" s="46">
        <f>SUMIF($B$13:$Y$13,"Yes",B68:Y68)</f>
        <v>36000</v>
      </c>
      <c r="AA68" s="46">
        <f>SUM(B68:M68)</f>
        <v>18000</v>
      </c>
      <c r="AB68" s="46">
        <f>SUM(B68:Y68)</f>
        <v>36000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72999.99999999999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200</v>
      </c>
      <c r="C75" s="46">
        <f>SUM(Calculations!$R$14:$R$16)/12</f>
        <v>200</v>
      </c>
      <c r="D75" s="46">
        <f>SUM(Calculations!$R$14:$R$16)/12</f>
        <v>200</v>
      </c>
      <c r="E75" s="46">
        <f>SUM(Calculations!$R$14:$R$16)/12</f>
        <v>200</v>
      </c>
      <c r="F75" s="46">
        <f>SUM(Calculations!$R$14:$R$16)/12</f>
        <v>200</v>
      </c>
      <c r="G75" s="46">
        <f>SUM(Calculations!$R$14:$R$16)/12</f>
        <v>200</v>
      </c>
      <c r="H75" s="46">
        <f>SUM(Calculations!$R$14:$R$16)/12</f>
        <v>200</v>
      </c>
      <c r="I75" s="46">
        <f>SUM(Calculations!$R$14:$R$16)/12</f>
        <v>200</v>
      </c>
      <c r="J75" s="46">
        <f>SUM(Calculations!$R$14:$R$16)/12</f>
        <v>200</v>
      </c>
      <c r="K75" s="46">
        <f>SUM(Calculations!$R$14:$R$16)/12</f>
        <v>200</v>
      </c>
      <c r="L75" s="46">
        <f>SUM(Calculations!$R$14:$R$16)/12</f>
        <v>200</v>
      </c>
      <c r="M75" s="46">
        <f>SUM(Calculations!$R$14:$R$16)/12</f>
        <v>200</v>
      </c>
      <c r="N75" s="46">
        <f>SUM(Calculations!$R$14:$R$16)/12</f>
        <v>200</v>
      </c>
      <c r="O75" s="46">
        <f>SUM(Calculations!$R$14:$R$16)/12</f>
        <v>200</v>
      </c>
      <c r="P75" s="46">
        <f>SUM(Calculations!$R$14:$R$16)/12</f>
        <v>200</v>
      </c>
      <c r="Q75" s="46">
        <f>SUM(Calculations!$R$14:$R$16)/12</f>
        <v>200</v>
      </c>
      <c r="R75" s="46">
        <f>SUM(Calculations!$R$14:$R$16)/12</f>
        <v>200</v>
      </c>
      <c r="S75" s="46">
        <f>SUM(Calculations!$R$14:$R$16)/12</f>
        <v>200</v>
      </c>
      <c r="T75" s="46">
        <f>SUM(Calculations!$R$14:$R$16)/12</f>
        <v>200</v>
      </c>
      <c r="U75" s="46">
        <f>SUM(Calculations!$R$14:$R$16)/12</f>
        <v>200</v>
      </c>
      <c r="V75" s="46">
        <f>SUM(Calculations!$R$14:$R$16)/12</f>
        <v>200</v>
      </c>
      <c r="W75" s="46">
        <f>SUM(Calculations!$R$14:$R$16)/12</f>
        <v>200</v>
      </c>
      <c r="X75" s="46">
        <f>SUM(Calculations!$R$14:$R$16)/12</f>
        <v>200</v>
      </c>
      <c r="Y75" s="46">
        <f>SUM(Calculations!$R$14:$R$16)/12</f>
        <v>200</v>
      </c>
      <c r="Z75" s="46">
        <f>SUMIF($B$13:$Y$13,"Yes",B75:Y75)</f>
        <v>4800</v>
      </c>
      <c r="AA75" s="46">
        <f>SUM(B75:M75)</f>
        <v>2400</v>
      </c>
      <c r="AB75" s="46">
        <f>SUM(B75:Y75)</f>
        <v>4800</v>
      </c>
    </row>
    <row r="76" spans="1:30">
      <c r="A76" s="16" t="s">
        <v>48</v>
      </c>
      <c r="B76" s="46">
        <f>SUM(Calculations!$S$14:$S$16)/12</f>
        <v>233.3333333333333</v>
      </c>
      <c r="C76" s="46">
        <f>SUM(Calculations!$S$14:$S$16)/12</f>
        <v>233.3333333333333</v>
      </c>
      <c r="D76" s="46">
        <f>SUM(Calculations!$S$14:$S$16)/12</f>
        <v>233.3333333333333</v>
      </c>
      <c r="E76" s="46">
        <f>SUM(Calculations!$S$14:$S$16)/12</f>
        <v>233.3333333333333</v>
      </c>
      <c r="F76" s="46">
        <f>SUM(Calculations!$S$14:$S$16)/12</f>
        <v>233.3333333333333</v>
      </c>
      <c r="G76" s="46">
        <f>SUM(Calculations!$S$14:$S$16)/12</f>
        <v>233.3333333333333</v>
      </c>
      <c r="H76" s="46">
        <f>SUM(Calculations!$S$14:$S$16)/12</f>
        <v>233.3333333333333</v>
      </c>
      <c r="I76" s="46">
        <f>SUM(Calculations!$S$14:$S$16)/12</f>
        <v>233.3333333333333</v>
      </c>
      <c r="J76" s="46">
        <f>SUM(Calculations!$S$14:$S$16)/12</f>
        <v>233.3333333333333</v>
      </c>
      <c r="K76" s="46">
        <f>SUM(Calculations!$S$14:$S$16)/12</f>
        <v>233.3333333333333</v>
      </c>
      <c r="L76" s="46">
        <f>SUM(Calculations!$S$14:$S$16)/12</f>
        <v>233.3333333333333</v>
      </c>
      <c r="M76" s="46">
        <f>SUM(Calculations!$S$14:$S$16)/12</f>
        <v>233.3333333333333</v>
      </c>
      <c r="N76" s="46">
        <f>SUM(Calculations!$S$14:$S$16)/12</f>
        <v>233.3333333333333</v>
      </c>
      <c r="O76" s="46">
        <f>SUM(Calculations!$S$14:$S$16)/12</f>
        <v>233.3333333333333</v>
      </c>
      <c r="P76" s="46">
        <f>SUM(Calculations!$S$14:$S$16)/12</f>
        <v>233.3333333333333</v>
      </c>
      <c r="Q76" s="46">
        <f>SUM(Calculations!$S$14:$S$16)/12</f>
        <v>233.3333333333333</v>
      </c>
      <c r="R76" s="46">
        <f>SUM(Calculations!$S$14:$S$16)/12</f>
        <v>233.3333333333333</v>
      </c>
      <c r="S76" s="46">
        <f>SUM(Calculations!$S$14:$S$16)/12</f>
        <v>233.3333333333333</v>
      </c>
      <c r="T76" s="46">
        <f>SUM(Calculations!$S$14:$S$16)/12</f>
        <v>233.3333333333333</v>
      </c>
      <c r="U76" s="46">
        <f>SUM(Calculations!$S$14:$S$16)/12</f>
        <v>233.3333333333333</v>
      </c>
      <c r="V76" s="46">
        <f>SUM(Calculations!$S$14:$S$16)/12</f>
        <v>233.3333333333333</v>
      </c>
      <c r="W76" s="46">
        <f>SUM(Calculations!$S$14:$S$16)/12</f>
        <v>233.3333333333333</v>
      </c>
      <c r="X76" s="46">
        <f>SUM(Calculations!$S$14:$S$16)/12</f>
        <v>233.3333333333333</v>
      </c>
      <c r="Y76" s="46">
        <f>SUM(Calculations!$S$14:$S$16)/12</f>
        <v>233.3333333333333</v>
      </c>
      <c r="Z76" s="46">
        <f>SUMIF($B$13:$Y$13,"Yes",B76:Y76)</f>
        <v>5599.999999999999</v>
      </c>
      <c r="AA76" s="46">
        <f>SUM(B76:M76)</f>
        <v>2800</v>
      </c>
      <c r="AB76" s="46">
        <f>SUM(B76:Y76)</f>
        <v>5599.999999999999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44344.37040221577</v>
      </c>
      <c r="C81" s="46">
        <f>(SUM($AA$18:$AA$29)-SUM($AA$36,$AA$42,$AA$48,$AA$54,$AA$60,$AA$66,$AA$72:$AA$79))*Parameters!$B$37/12</f>
        <v>44344.37040221577</v>
      </c>
      <c r="D81" s="46">
        <f>(SUM($AA$18:$AA$29)-SUM($AA$36,$AA$42,$AA$48,$AA$54,$AA$60,$AA$66,$AA$72:$AA$79))*Parameters!$B$37/12</f>
        <v>44344.37040221577</v>
      </c>
      <c r="E81" s="46">
        <f>(SUM($AA$18:$AA$29)-SUM($AA$36,$AA$42,$AA$48,$AA$54,$AA$60,$AA$66,$AA$72:$AA$79))*Parameters!$B$37/12</f>
        <v>44344.37040221577</v>
      </c>
      <c r="F81" s="46">
        <f>(SUM($AA$18:$AA$29)-SUM($AA$36,$AA$42,$AA$48,$AA$54,$AA$60,$AA$66,$AA$72:$AA$79))*Parameters!$B$37/12</f>
        <v>44344.37040221577</v>
      </c>
      <c r="G81" s="46">
        <f>(SUM($AA$18:$AA$29)-SUM($AA$36,$AA$42,$AA$48,$AA$54,$AA$60,$AA$66,$AA$72:$AA$79))*Parameters!$B$37/12</f>
        <v>44344.37040221577</v>
      </c>
      <c r="H81" s="46">
        <f>(SUM($AA$18:$AA$29)-SUM($AA$36,$AA$42,$AA$48,$AA$54,$AA$60,$AA$66,$AA$72:$AA$79))*Parameters!$B$37/12</f>
        <v>44344.37040221577</v>
      </c>
      <c r="I81" s="46">
        <f>(SUM($AA$18:$AA$29)-SUM($AA$36,$AA$42,$AA$48,$AA$54,$AA$60,$AA$66,$AA$72:$AA$79))*Parameters!$B$37/12</f>
        <v>44344.37040221577</v>
      </c>
      <c r="J81" s="46">
        <f>(SUM($AA$18:$AA$29)-SUM($AA$36,$AA$42,$AA$48,$AA$54,$AA$60,$AA$66,$AA$72:$AA$79))*Parameters!$B$37/12</f>
        <v>44344.37040221577</v>
      </c>
      <c r="K81" s="46">
        <f>(SUM($AA$18:$AA$29)-SUM($AA$36,$AA$42,$AA$48,$AA$54,$AA$60,$AA$66,$AA$72:$AA$79))*Parameters!$B$37/12</f>
        <v>44344.37040221577</v>
      </c>
      <c r="L81" s="46">
        <f>(SUM($AA$18:$AA$29)-SUM($AA$36,$AA$42,$AA$48,$AA$54,$AA$60,$AA$66,$AA$72:$AA$79))*Parameters!$B$37/12</f>
        <v>44344.37040221577</v>
      </c>
      <c r="M81" s="46">
        <f>(SUM($AA$18:$AA$29)-SUM($AA$36,$AA$42,$AA$48,$AA$54,$AA$60,$AA$66,$AA$72:$AA$79))*Parameters!$B$37/12</f>
        <v>44344.37040221577</v>
      </c>
      <c r="N81" s="46">
        <f>(SUM($AA$18:$AA$29)-SUM($AA$36,$AA$42,$AA$48,$AA$54,$AA$60,$AA$66,$AA$72:$AA$79))*Parameters!$B$37/12</f>
        <v>44344.37040221577</v>
      </c>
      <c r="O81" s="46">
        <f>(SUM($AA$18:$AA$29)-SUM($AA$36,$AA$42,$AA$48,$AA$54,$AA$60,$AA$66,$AA$72:$AA$79))*Parameters!$B$37/12</f>
        <v>44344.37040221577</v>
      </c>
      <c r="P81" s="46">
        <f>(SUM($AA$18:$AA$29)-SUM($AA$36,$AA$42,$AA$48,$AA$54,$AA$60,$AA$66,$AA$72:$AA$79))*Parameters!$B$37/12</f>
        <v>44344.37040221577</v>
      </c>
      <c r="Q81" s="46">
        <f>(SUM($AA$18:$AA$29)-SUM($AA$36,$AA$42,$AA$48,$AA$54,$AA$60,$AA$66,$AA$72:$AA$79))*Parameters!$B$37/12</f>
        <v>44344.37040221577</v>
      </c>
      <c r="R81" s="46">
        <f>(SUM($AA$18:$AA$29)-SUM($AA$36,$AA$42,$AA$48,$AA$54,$AA$60,$AA$66,$AA$72:$AA$79))*Parameters!$B$37/12</f>
        <v>44344.37040221577</v>
      </c>
      <c r="S81" s="46">
        <f>(SUM($AA$18:$AA$29)-SUM($AA$36,$AA$42,$AA$48,$AA$54,$AA$60,$AA$66,$AA$72:$AA$79))*Parameters!$B$37/12</f>
        <v>44344.37040221577</v>
      </c>
      <c r="T81" s="46">
        <f>(SUM($AA$18:$AA$29)-SUM($AA$36,$AA$42,$AA$48,$AA$54,$AA$60,$AA$66,$AA$72:$AA$79))*Parameters!$B$37/12</f>
        <v>44344.37040221577</v>
      </c>
      <c r="U81" s="46">
        <f>(SUM($AA$18:$AA$29)-SUM($AA$36,$AA$42,$AA$48,$AA$54,$AA$60,$AA$66,$AA$72:$AA$79))*Parameters!$B$37/12</f>
        <v>44344.37040221577</v>
      </c>
      <c r="V81" s="46">
        <f>(SUM($AA$18:$AA$29)-SUM($AA$36,$AA$42,$AA$48,$AA$54,$AA$60,$AA$66,$AA$72:$AA$79))*Parameters!$B$37/12</f>
        <v>44344.37040221577</v>
      </c>
      <c r="W81" s="46">
        <f>(SUM($AA$18:$AA$29)-SUM($AA$36,$AA$42,$AA$48,$AA$54,$AA$60,$AA$66,$AA$72:$AA$79))*Parameters!$B$37/12</f>
        <v>44344.37040221577</v>
      </c>
      <c r="X81" s="46">
        <f>(SUM($AA$18:$AA$29)-SUM($AA$36,$AA$42,$AA$48,$AA$54,$AA$60,$AA$66,$AA$72:$AA$79))*Parameters!$B$37/12</f>
        <v>44344.37040221577</v>
      </c>
      <c r="Y81" s="46">
        <f>(SUM($AA$18:$AA$29)-SUM($AA$36,$AA$42,$AA$48,$AA$54,$AA$60,$AA$66,$AA$72:$AA$79))*Parameters!$B$37/12</f>
        <v>44344.37040221577</v>
      </c>
      <c r="Z81" s="46">
        <f>SUMIF($B$13:$Y$13,"Yes",B81:Y81)</f>
        <v>1064264.889653178</v>
      </c>
      <c r="AA81" s="46">
        <f>SUM(B81:M81)</f>
        <v>532132.4448265891</v>
      </c>
      <c r="AB81" s="46">
        <f>SUM(B81:Y81)</f>
        <v>1064264.889653178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58369.37040221577</v>
      </c>
      <c r="C88" s="19">
        <f>SUM(C72:C82,C66,C60,C54,C48,C42,C36)</f>
        <v>54619.37040221577</v>
      </c>
      <c r="D88" s="19">
        <f>SUM(D72:D82,D66,D60,D54,D48,D42,D36)</f>
        <v>52819.37040221577</v>
      </c>
      <c r="E88" s="19">
        <f>SUM(E72:E82,E66,E60,E54,E48,E42,E36)</f>
        <v>146793.3704022158</v>
      </c>
      <c r="F88" s="19">
        <f>SUM(F72:F82,F66,F60,F54,F48,F42,F36)</f>
        <v>58369.37040221577</v>
      </c>
      <c r="G88" s="19">
        <f>SUM(G72:G82,G66,G60,G54,G48,G42,G36)</f>
        <v>82469.37040221578</v>
      </c>
      <c r="H88" s="19">
        <f>SUM(H72:H82,H66,H60,H54,H48,H42,H36)</f>
        <v>58369.37040221577</v>
      </c>
      <c r="I88" s="19">
        <f>SUM(I72:I82,I66,I60,I54,I48,I42,I36)</f>
        <v>54619.37040221577</v>
      </c>
      <c r="J88" s="19">
        <f>SUM(J72:J82,J66,J60,J54,J48,J42,J36)</f>
        <v>52819.37040221577</v>
      </c>
      <c r="K88" s="19">
        <f>SUM(K72:K82,K66,K60,K54,K48,K42,K36)</f>
        <v>146793.3704022158</v>
      </c>
      <c r="L88" s="19">
        <f>SUM(L72:L82,L66,L60,L54,L48,L42,L36)</f>
        <v>58369.37040221577</v>
      </c>
      <c r="M88" s="19">
        <f>SUM(M72:M82,M66,M60,M54,M48,M42,M36)</f>
        <v>82469.37040221578</v>
      </c>
      <c r="N88" s="19">
        <f>SUM(N72:N82,N66,N60,N54,N48,N42,N36)</f>
        <v>58369.37040221577</v>
      </c>
      <c r="O88" s="19">
        <f>SUM(O72:O82,O66,O60,O54,O48,O42,O36)</f>
        <v>54619.37040221577</v>
      </c>
      <c r="P88" s="19">
        <f>SUM(P72:P82,P66,P60,P54,P48,P42,P36)</f>
        <v>52819.37040221577</v>
      </c>
      <c r="Q88" s="19">
        <f>SUM(Q72:Q82,Q66,Q60,Q54,Q48,Q42,Q36)</f>
        <v>146793.3704022158</v>
      </c>
      <c r="R88" s="19">
        <f>SUM(R72:R82,R66,R60,R54,R48,R42,R36)</f>
        <v>58369.37040221577</v>
      </c>
      <c r="S88" s="19">
        <f>SUM(S72:S82,S66,S60,S54,S48,S42,S36)</f>
        <v>82469.37040221578</v>
      </c>
      <c r="T88" s="19">
        <f>SUM(T72:T82,T66,T60,T54,T48,T42,T36)</f>
        <v>58369.37040221577</v>
      </c>
      <c r="U88" s="19">
        <f>SUM(U72:U82,U66,U60,U54,U48,U42,U36)</f>
        <v>54619.37040221577</v>
      </c>
      <c r="V88" s="19">
        <f>SUM(V72:V82,V66,V60,V54,V48,V42,V36)</f>
        <v>52819.37040221577</v>
      </c>
      <c r="W88" s="19">
        <f>SUM(W72:W82,W66,W60,W54,W48,W42,W36)</f>
        <v>146793.3704022158</v>
      </c>
      <c r="X88" s="19">
        <f>SUM(X72:X82,X66,X60,X54,X48,X42,X36)</f>
        <v>58369.37040221577</v>
      </c>
      <c r="Y88" s="19">
        <f>SUM(Y72:Y82,Y66,Y60,Y54,Y48,Y42,Y36)</f>
        <v>82469.37040221578</v>
      </c>
      <c r="Z88" s="19">
        <f>SUMIF($B$13:$Y$13,"Yes",B88:Y88)</f>
        <v>1813760.889653178</v>
      </c>
      <c r="AA88" s="19">
        <f>SUM(B88:M88)</f>
        <v>906880.4448265891</v>
      </c>
      <c r="AB88" s="19">
        <f>SUM(B88:Y88)</f>
        <v>1813760.889653178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1400000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12950000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750000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16565000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45000</v>
      </c>
    </row>
    <row r="31" spans="1:48">
      <c r="A31" s="5" t="s">
        <v>118</v>
      </c>
      <c r="B31" s="158">
        <v>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93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750000</v>
      </c>
    </row>
    <row r="47" spans="1:48" customHeight="1" ht="30">
      <c r="A47" s="57" t="s">
        <v>133</v>
      </c>
      <c r="B47" s="161">
        <v>1400000</v>
      </c>
    </row>
    <row r="48" spans="1:48" customHeight="1" ht="30">
      <c r="A48" s="57" t="s">
        <v>134</v>
      </c>
      <c r="B48" s="161">
        <v>1200000</v>
      </c>
    </row>
    <row r="49" spans="1:48" customHeight="1" ht="30">
      <c r="A49" s="57" t="s">
        <v>135</v>
      </c>
      <c r="B49" s="161">
        <v>65000</v>
      </c>
    </row>
    <row r="50" spans="1:48">
      <c r="A50" s="43"/>
      <c r="B50" s="36"/>
    </row>
    <row r="51" spans="1:48">
      <c r="A51" s="58" t="s">
        <v>136</v>
      </c>
      <c r="B51" s="161">
        <v>2000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285000</v>
      </c>
      <c r="C66" s="163">
        <v>275000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364800</v>
      </c>
      <c r="C67" s="165">
        <v>346000</v>
      </c>
      <c r="D67" s="49">
        <f>INDEX(Parameters!$D$79:$D$90,MATCH(Inputs!A67,Parameters!$C$79:$C$90,0))</f>
        <v>6</v>
      </c>
    </row>
    <row r="68" spans="1:48">
      <c r="A68" s="143" t="s">
        <v>152</v>
      </c>
      <c r="B68" s="157">
        <v>312000</v>
      </c>
      <c r="C68" s="165">
        <v>308000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256000</v>
      </c>
      <c r="C69" s="165">
        <v>244000</v>
      </c>
      <c r="D69" s="49">
        <f>INDEX(Parameters!$D$79:$D$90,MATCH(Inputs!A69,Parameters!$C$79:$C$90,0))</f>
        <v>4</v>
      </c>
    </row>
    <row r="70" spans="1:48">
      <c r="A70" s="143" t="s">
        <v>154</v>
      </c>
      <c r="B70" s="157">
        <v>362000</v>
      </c>
      <c r="C70" s="165">
        <v>312000</v>
      </c>
      <c r="D70" s="49">
        <f>INDEX(Parameters!$D$79:$D$90,MATCH(Inputs!A70,Parameters!$C$79:$C$90,0))</f>
        <v>3</v>
      </c>
    </row>
    <row r="71" spans="1:48">
      <c r="A71" s="144" t="s">
        <v>155</v>
      </c>
      <c r="B71" s="158">
        <v>254000</v>
      </c>
      <c r="C71" s="167">
        <v>248500</v>
      </c>
      <c r="D71" s="49">
        <f>INDEX(Parameters!$D$79:$D$90,MATCH(Inputs!A71,Parameters!$C$79:$C$90,0))</f>
        <v>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43101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43282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28831.96950802836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726565.6316023148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4882.641078335685</v>
      </c>
      <c r="M5" s="30">
        <f>L5*H5</f>
        <v>14647.92323500706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328113.4804641581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110400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2800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42973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42948</v>
      </c>
      <c r="F33" t="s">
        <v>161</v>
      </c>
      <c r="G33" s="128">
        <f>IF(Inputs!B79="","",DATE(YEAR(Inputs!B79),MONTH(Inputs!B79),DAY(Inputs!B79)))</f>
        <v>42942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43004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42979</v>
      </c>
      <c r="F34" t="s">
        <v>162</v>
      </c>
      <c r="G34" s="128">
        <f>IF(Inputs!B80="","",DATE(YEAR(Inputs!B80),MONTH(Inputs!B80),DAY(Inputs!B80)))</f>
        <v>42973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43034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43009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43065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43040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43095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43070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43126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43101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43157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43132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43185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43160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43216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43191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43246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43221</v>
      </c>
      <c r="F42" t="s">
        <v>229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43277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43307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43338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43369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43399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43430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43460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43491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43522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43550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43581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43611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43642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43672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315</v>
      </c>
      <c r="I52" s="12" t="s">
        <v>129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315</v>
      </c>
      <c r="I77" s="12" t="s">
        <v>351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111</v>
      </c>
      <c r="H78" s="12" t="s">
        <v>129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167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361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