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<sst xmlns="http://schemas.openxmlformats.org/spreadsheetml/2006/main" uniqueCount="374">
  <si>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</si>
  <si>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</si>
  <si>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</si>
  <si>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</si>
  <si>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</si>
  <si>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</si>
  <si>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</si>
  <si>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</si>
  <si>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</si>
  <si>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</si>
  <si>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</si>
  <si>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</si>
  <si>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</si>
  <si>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</si>
  <si>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</si>
  <si>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</si>
  <si>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</si>
  <si>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</si>
  <si>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</si>
  <si>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</si>
  <si>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</si>
  <si>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</si>
  <si>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</si>
  <si>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</si>
  <si>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</si>
  <si>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</si>
  <si>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</si>
  <si>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</si>
  <si>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</si>
  <si>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</si>
  <si>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</si>
  <si>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</si>
  <si>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</si>
  <si>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</si>
  <si>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</si>
  <si>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</si>
  <si>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</si>
  <si>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</si>
  <si>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</si>
  <si>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</si>
  <si>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</si>
  <si>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</si>
  <si>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</si>
  <si>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</si>
  <si>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</si>
  <si>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</si>
  <si>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</si>
  <si>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</si>
  <si>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</si>
  <si>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</si>
  <si>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</si>
  <si>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</si>
  <si>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</si>
  <si>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</si>
  <si>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</si>
  <si>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</si>
  <si>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</si>
  <si>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</si>
  <si>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</si>
  <si>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</si>
  <si>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</si>
  <si>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</si>
  <si>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</si>
  <si>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</si>
  <si>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</si>
  <si>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</si>
  <si>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</si>
  <si>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</si>
  <si>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</si>
  <si>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</si>
  <si>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</si>
  <si>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</si>
  <si>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</si>
  <si>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</si>
  <si>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</si>
  <si>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</si>
  <si>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</si>
  <si>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</si>
  <si>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</si>
  <si>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</si>
  <si>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</si>
  <si>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</si>
  <si>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</si>
  <si>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</si>
  <si>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</si>
  <si>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</si>
  <si>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</si>
  <si>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</si>
  <si>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</si>
  <si>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</si>
  <si>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</si>
  <si>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</si>
  <si>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</si>
  <si>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</si>
  <si>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</si>
  <si>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</si>
  <si>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</si>
  <si>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</si>
  <si>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</si>
  <si>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</si>
  <si>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</si>
  <si>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</si>
  <si>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</si>
  <si>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</si>
  <si>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</si>
  <si>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</si>
  <si>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</si>
  <si>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</si>
  <si>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</si>
  <si>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Spray selling and outside catering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</si>
  <si>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</si>
  <si>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</si>
  <si>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</si>
  <si>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</si>
  <si>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</si>
  <si>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</si>
  <si>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</si>
  <si>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</si>
  <si>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</si>
  <si>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</si>
  <si>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</si>
  <si>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</si>
  <si>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</si>
  <si>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</si>
  <si>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No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</si>
  <si>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</si>
  <si>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</si>
  <si>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</si>
  <si>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</si>
  <si>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</si>
  <si>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</si>
  <si>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</si>
  <si>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</si>
  <si>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</si>
  <si>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</si>
  <si>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</si>
  <si>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</si>
  <si>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</si>
  <si>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11/29/2016</t>
  </si>
  <si>
    <t>Kenya women finance trust</t>
  </si>
  <si>
    <t>Group loan well serviced</t>
  </si>
  <si>
    <t>6/15/2017</t>
  </si>
  <si>
    <t>Equity bank</t>
  </si>
  <si>
    <t>short term loan to be repaid in 3 months</t>
  </si>
  <si>
    <t>5/30/2017</t>
  </si>
  <si>
    <t>ASA Kenya Limited</t>
  </si>
  <si>
    <t>Group loan paid in cash during group meetings</t>
  </si>
  <si>
    <t>Mpesa &amp; bank cash flows (from past statements)</t>
  </si>
  <si>
    <t>Cash inflows</t>
  </si>
  <si>
    <t>Cash outflows</t>
  </si>
  <si>
    <t>July</t>
  </si>
  <si>
    <t>June</t>
  </si>
  <si>
    <t>May</t>
  </si>
  <si>
    <t>April</t>
  </si>
  <si>
    <t>March</t>
  </si>
  <si>
    <t>February</t>
  </si>
  <si>
    <t>Loan info</t>
  </si>
  <si>
    <t>Branch ID</t>
  </si>
  <si>
    <t>Submission date</t>
  </si>
  <si>
    <t>2017/7/27</t>
  </si>
  <si>
    <t>Loan terms</t>
  </si>
  <si>
    <t>Expected disbursement date</t>
  </si>
  <si>
    <t>Expected first repayment date</t>
  </si>
  <si>
    <t>2017/8/27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</si>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</sst>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</v>
      </c>
    </row>
    <row r="8" spans="1:7">
      <c r="B8" s="1" t="s">
        <v>4</v>
      </c>
      <c r="C8" t="str">
        <f>IF(Inputs!B29="","None",Inputs!B29)</f>
        <v>Spray selling and outside catering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0.2497205384391009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0.4476723016170962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347042.0000000001</v>
      </c>
    </row>
    <row r="18" spans="1:7">
      <c r="B18" s="1" t="s">
        <v>12</v>
      </c>
      <c r="C18" s="36">
        <f>MIN(Output!B6:M6)</f>
        <v>21648.90229885057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33495.16666666667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37866.66666666666</v>
      </c>
    </row>
    <row r="25" spans="1:7">
      <c r="B25" s="1" t="s">
        <v>18</v>
      </c>
      <c r="C25" s="36">
        <f>MAX(Inputs!A56:A60)</f>
        <v>80000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21648.90229885057</v>
      </c>
      <c r="C6" s="51">
        <f>C30-C88</f>
        <v>21648.90229885057</v>
      </c>
      <c r="D6" s="51">
        <f>D30-D88</f>
        <v>22062.69540229885</v>
      </c>
      <c r="E6" s="51">
        <f>E30-E88</f>
        <v>26153.5</v>
      </c>
      <c r="F6" s="51">
        <f>F30-F88</f>
        <v>26153.5</v>
      </c>
      <c r="G6" s="51">
        <f>G30-G88</f>
        <v>28403.5</v>
      </c>
      <c r="H6" s="51">
        <f>H30-H88</f>
        <v>33495.16666666667</v>
      </c>
      <c r="I6" s="51">
        <f>I30-I88</f>
        <v>33495.16666666667</v>
      </c>
      <c r="J6" s="51">
        <f>J30-J88</f>
        <v>33495.16666666667</v>
      </c>
      <c r="K6" s="51">
        <f>K30-K88</f>
        <v>33495.16666666667</v>
      </c>
      <c r="L6" s="51">
        <f>L30-L88</f>
        <v>33495.16666666667</v>
      </c>
      <c r="M6" s="51">
        <f>M30-M88</f>
        <v>33495.16666666667</v>
      </c>
      <c r="N6" s="51">
        <f>N30-N88</f>
        <v>33495.16666666667</v>
      </c>
      <c r="O6" s="51">
        <f>O30-O88</f>
        <v>33495.16666666667</v>
      </c>
      <c r="P6" s="51">
        <f>P30-P88</f>
        <v>33495.16666666667</v>
      </c>
      <c r="Q6" s="51">
        <f>Q30-Q88</f>
        <v>33495.16666666667</v>
      </c>
      <c r="R6" s="51">
        <f>R30-R88</f>
        <v>33495.16666666667</v>
      </c>
      <c r="S6" s="51">
        <f>S30-S88</f>
        <v>33495.16666666667</v>
      </c>
      <c r="T6" s="51">
        <f>T30-T88</f>
        <v>33495.16666666667</v>
      </c>
      <c r="U6" s="51">
        <f>U30-U88</f>
        <v>33495.16666666667</v>
      </c>
      <c r="V6" s="51">
        <f>V30-V88</f>
        <v>33495.16666666667</v>
      </c>
      <c r="W6" s="51">
        <f>W30-W88</f>
        <v>33495.16666666667</v>
      </c>
      <c r="X6" s="51">
        <f>X30-X88</f>
        <v>33495.16666666667</v>
      </c>
      <c r="Y6" s="51">
        <f>Y30-Y88</f>
        <v>33495.16666666667</v>
      </c>
      <c r="Z6" s="51">
        <f>SUMIF($B$13:$Y$13,"Yes",B6:Y6)</f>
        <v>380537.1666666668</v>
      </c>
      <c r="AA6" s="51">
        <f>AA30-AA88</f>
        <v>347042.0000000001</v>
      </c>
      <c r="AB6" s="51">
        <f>AB30-AB88</f>
        <v>748983.9999999999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106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5600</v>
      </c>
      <c r="J7" s="80">
        <f>IF(ISERROR(VLOOKUP(MONTH(J5),Inputs!$D$66:$D$71,1,0)),"",INDEX(Inputs!$B$66:$B$71,MATCH(MONTH(Output!J5),Inputs!$D$66:$D$71,0))-INDEX(Inputs!$C$66:$C$71,MATCH(MONTH(Output!J5),Inputs!$D$66:$D$71,0)))</f>
        <v>2979</v>
      </c>
      <c r="K7" s="80">
        <f>IF(ISERROR(VLOOKUP(MONTH(K5),Inputs!$D$66:$D$71,1,0)),"",INDEX(Inputs!$B$66:$B$71,MATCH(MONTH(Output!K5),Inputs!$D$66:$D$71,0))-INDEX(Inputs!$C$66:$C$71,MATCH(MONTH(Output!K5),Inputs!$D$66:$D$71,0)))</f>
        <v>12304</v>
      </c>
      <c r="L7" s="80">
        <f>IF(ISERROR(VLOOKUP(MONTH(L5),Inputs!$D$66:$D$71,1,0)),"",INDEX(Inputs!$B$66:$B$71,MATCH(MONTH(Output!L5),Inputs!$D$66:$D$71,0))-INDEX(Inputs!$C$66:$C$71,MATCH(MONTH(Output!L5),Inputs!$D$66:$D$71,0)))</f>
        <v>20026</v>
      </c>
      <c r="M7" s="80">
        <f>IF(ISERROR(VLOOKUP(MONTH(M5),Inputs!$D$66:$D$71,1,0)),"",INDEX(Inputs!$B$66:$B$71,MATCH(MONTH(Output!M5),Inputs!$D$66:$D$71,0))-INDEX(Inputs!$C$66:$C$71,MATCH(MONTH(Output!M5),Inputs!$D$66:$D$71,0)))</f>
        <v>18</v>
      </c>
      <c r="N7" s="80">
        <f>IF(ISERROR(VLOOKUP(MONTH(N5),Inputs!$D$66:$D$71,1,0)),"",INDEX(Inputs!$B$66:$B$71,MATCH(MONTH(Output!N5),Inputs!$D$66:$D$71,0))-INDEX(Inputs!$C$66:$C$71,MATCH(MONTH(Output!N5),Inputs!$D$66:$D$71,0)))</f>
        <v>106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5600</v>
      </c>
      <c r="V7" s="80">
        <f>IF(ISERROR(VLOOKUP(MONTH(V5),Inputs!$D$66:$D$71,1,0)),"",INDEX(Inputs!$B$66:$B$71,MATCH(MONTH(Output!V5),Inputs!$D$66:$D$71,0))-INDEX(Inputs!$C$66:$C$71,MATCH(MONTH(Output!V5),Inputs!$D$66:$D$71,0)))</f>
        <v>2979</v>
      </c>
      <c r="W7" s="80">
        <f>IF(ISERROR(VLOOKUP(MONTH(W5),Inputs!$D$66:$D$71,1,0)),"",INDEX(Inputs!$B$66:$B$71,MATCH(MONTH(Output!W5),Inputs!$D$66:$D$71,0))-INDEX(Inputs!$C$66:$C$71,MATCH(MONTH(Output!W5),Inputs!$D$66:$D$71,0)))</f>
        <v>12304</v>
      </c>
      <c r="X7" s="80">
        <f>IF(ISERROR(VLOOKUP(MONTH(X5),Inputs!$D$66:$D$71,1,0)),"",INDEX(Inputs!$B$66:$B$71,MATCH(MONTH(Output!X5),Inputs!$D$66:$D$71,0))-INDEX(Inputs!$C$66:$C$71,MATCH(MONTH(Output!X5),Inputs!$D$66:$D$71,0)))</f>
        <v>20026</v>
      </c>
      <c r="Y7" s="80">
        <f>IF(ISERROR(VLOOKUP(MONTH(Y5),Inputs!$D$66:$D$71,1,0)),"",INDEX(Inputs!$B$66:$B$71,MATCH(MONTH(Output!Y5),Inputs!$D$66:$D$71,0))-INDEX(Inputs!$C$66:$C$71,MATCH(MONTH(Output!Y5),Inputs!$D$66:$D$71,0)))</f>
        <v>18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121648.9022988506</v>
      </c>
      <c r="C11" s="80">
        <f>C6+C9-C10</f>
        <v>11648.90229885057</v>
      </c>
      <c r="D11" s="80">
        <f>D6+D9-D10</f>
        <v>12062.69540229885</v>
      </c>
      <c r="E11" s="80">
        <f>E6+E9-E10</f>
        <v>16153.5</v>
      </c>
      <c r="F11" s="80">
        <f>F6+F9-F10</f>
        <v>16153.5</v>
      </c>
      <c r="G11" s="80">
        <f>G6+G9-G10</f>
        <v>18403.5</v>
      </c>
      <c r="H11" s="80">
        <f>H6+H9-H10</f>
        <v>23495.16666666667</v>
      </c>
      <c r="I11" s="80">
        <f>I6+I9-I10</f>
        <v>23495.16666666667</v>
      </c>
      <c r="J11" s="80">
        <f>J6+J9-J10</f>
        <v>23495.16666666667</v>
      </c>
      <c r="K11" s="80">
        <f>K6+K9-K10</f>
        <v>23495.16666666667</v>
      </c>
      <c r="L11" s="80">
        <f>L6+L9-L10</f>
        <v>23495.16666666667</v>
      </c>
      <c r="M11" s="80">
        <f>M6+M9-M10</f>
        <v>23495.16666666667</v>
      </c>
      <c r="N11" s="80">
        <f>N6+N9-N10</f>
        <v>23495.16666666667</v>
      </c>
      <c r="O11" s="80">
        <f>O6+O9-O10</f>
        <v>33495.16666666667</v>
      </c>
      <c r="P11" s="80">
        <f>P6+P9-P10</f>
        <v>33495.16666666667</v>
      </c>
      <c r="Q11" s="80">
        <f>Q6+Q9-Q10</f>
        <v>33495.16666666667</v>
      </c>
      <c r="R11" s="80">
        <f>R6+R9-R10</f>
        <v>33495.16666666667</v>
      </c>
      <c r="S11" s="80">
        <f>S6+S9-S10</f>
        <v>33495.16666666667</v>
      </c>
      <c r="T11" s="80">
        <f>T6+T9-T10</f>
        <v>33495.16666666667</v>
      </c>
      <c r="U11" s="80">
        <f>U6+U9-U10</f>
        <v>33495.16666666667</v>
      </c>
      <c r="V11" s="80">
        <f>V6+V9-V10</f>
        <v>33495.16666666667</v>
      </c>
      <c r="W11" s="80">
        <f>W6+W9-W10</f>
        <v>33495.16666666667</v>
      </c>
      <c r="X11" s="80">
        <f>X6+X9-X10</f>
        <v>33495.16666666667</v>
      </c>
      <c r="Y11" s="80">
        <f>Y6+Y9-Y10</f>
        <v>33495.16666666667</v>
      </c>
      <c r="Z11" s="85">
        <f>SUMIF($B$13:$Y$13,"Yes",B11:Y11)</f>
        <v>360537.1666666668</v>
      </c>
      <c r="AA11" s="80">
        <f>SUM(B11:M11)</f>
        <v>337042.0000000001</v>
      </c>
      <c r="AB11" s="46">
        <f>SUM(B11:Y11)</f>
        <v>728984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0.06978473974583435</v>
      </c>
      <c r="D12" s="82">
        <f>IF(D13="Yes",IF(SUM($B$10:D10)/(SUM($B$6:D6)+SUM($B$9:D9))&lt;0,999.99,SUM($B$10:D10)/(SUM($B$6:D6)+SUM($B$9:D9))),"")</f>
        <v>0.1209478684450035</v>
      </c>
      <c r="E12" s="82">
        <f>IF(E13="Yes",IF(SUM($B$10:E10)/(SUM($B$6:E6)+SUM($B$9:E9))&lt;0,999.99,SUM($B$10:E10)/(SUM($B$6:E6)+SUM($B$9:E9))),"")</f>
        <v>0.1566465114821893</v>
      </c>
      <c r="F12" s="82">
        <f>IF(F13="Yes",IF(SUM($B$10:F10)/(SUM($B$6:F6)+SUM($B$9:F9))&lt;0,999.99,SUM($B$10:F10)/(SUM($B$6:F6)+SUM($B$9:F9))),"")</f>
        <v>0.183766524630457</v>
      </c>
      <c r="G12" s="82">
        <f>IF(G13="Yes",IF(SUM($B$10:G10)/(SUM($B$6:G6)+SUM($B$9:G9))&lt;0,999.99,SUM($B$10:G10)/(SUM($B$6:G6)+SUM($B$9:G9))),"")</f>
        <v>0.2031933872744045</v>
      </c>
      <c r="H12" s="82">
        <f>IF(H13="Yes",IF(SUM($B$10:H10)/(SUM($B$6:H6)+SUM($B$9:H9))&lt;0,999.99,SUM($B$10:H10)/(SUM($B$6:H6)+SUM($B$9:H9))),"")</f>
        <v>0.2146182448162242</v>
      </c>
      <c r="I12" s="82">
        <f>IF(I13="Yes",IF(SUM($B$10:I10)/(SUM($B$6:I6)+SUM($B$9:I9))&lt;0,999.99,SUM($B$10:I10)/(SUM($B$6:I6)+SUM($B$9:I9))),"")</f>
        <v>0.2235983577233002</v>
      </c>
      <c r="J12" s="82">
        <f>IF(J13="Yes",IF(SUM($B$10:J10)/(SUM($B$6:J6)+SUM($B$9:J9))&lt;0,999.99,SUM($B$10:J10)/(SUM($B$6:J6)+SUM($B$9:J9))),"")</f>
        <v>0.2308425898807265</v>
      </c>
      <c r="K12" s="82">
        <f>IF(K13="Yes",IF(SUM($B$10:K10)/(SUM($B$6:K6)+SUM($B$9:K9))&lt;0,999.99,SUM($B$10:K10)/(SUM($B$6:K6)+SUM($B$9:K9))),"")</f>
        <v>0.2368099074248676</v>
      </c>
      <c r="L12" s="82">
        <f>IF(L13="Yes",IF(SUM($B$10:L10)/(SUM($B$6:L6)+SUM($B$9:L9))&lt;0,999.99,SUM($B$10:L10)/(SUM($B$6:L6)+SUM($B$9:L9))),"")</f>
        <v>0.2418105809055886</v>
      </c>
      <c r="M12" s="82">
        <f>IF(M13="Yes",IF(SUM($B$10:M10)/(SUM($B$6:M6)+SUM($B$9:M9))&lt;0,999.99,SUM($B$10:M10)/(SUM($B$6:M6)+SUM($B$9:M9))),"")</f>
        <v>0.2460618912764348</v>
      </c>
      <c r="N12" s="82">
        <f>IF(N13="Yes",IF(SUM($B$10:N10)/(SUM($B$6:N6)+SUM($B$9:N9))&lt;0,999.99,SUM($B$10:N10)/(SUM($B$6:N6)+SUM($B$9:N9))),"")</f>
        <v>0.2497205384391009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17600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46200</v>
      </c>
      <c r="C24" s="36">
        <f>IFERROR(Calculations!$P14/12,"")</f>
        <v>46200</v>
      </c>
      <c r="D24" s="36">
        <f>IFERROR(Calculations!$P14/12,"")</f>
        <v>46200</v>
      </c>
      <c r="E24" s="36">
        <f>IFERROR(Calculations!$P14/12,"")</f>
        <v>46200</v>
      </c>
      <c r="F24" s="36">
        <f>IFERROR(Calculations!$P14/12,"")</f>
        <v>46200</v>
      </c>
      <c r="G24" s="36">
        <f>IFERROR(Calculations!$P14/12,"")</f>
        <v>46200</v>
      </c>
      <c r="H24" s="36">
        <f>IFERROR(Calculations!$P14/12,"")</f>
        <v>46200</v>
      </c>
      <c r="I24" s="36">
        <f>IFERROR(Calculations!$P14/12,"")</f>
        <v>46200</v>
      </c>
      <c r="J24" s="36">
        <f>IFERROR(Calculations!$P14/12,"")</f>
        <v>46200</v>
      </c>
      <c r="K24" s="36">
        <f>IFERROR(Calculations!$P14/12,"")</f>
        <v>46200</v>
      </c>
      <c r="L24" s="36">
        <f>IFERROR(Calculations!$P14/12,"")</f>
        <v>46200</v>
      </c>
      <c r="M24" s="36">
        <f>IFERROR(Calculations!$P14/12,"")</f>
        <v>46200</v>
      </c>
      <c r="N24" s="36">
        <f>IFERROR(Calculations!$P14/12,"")</f>
        <v>46200</v>
      </c>
      <c r="O24" s="36">
        <f>IFERROR(Calculations!$P14/12,"")</f>
        <v>46200</v>
      </c>
      <c r="P24" s="36">
        <f>IFERROR(Calculations!$P14/12,"")</f>
        <v>46200</v>
      </c>
      <c r="Q24" s="36">
        <f>IFERROR(Calculations!$P14/12,"")</f>
        <v>46200</v>
      </c>
      <c r="R24" s="36">
        <f>IFERROR(Calculations!$P14/12,"")</f>
        <v>46200</v>
      </c>
      <c r="S24" s="36">
        <f>IFERROR(Calculations!$P14/12,"")</f>
        <v>46200</v>
      </c>
      <c r="T24" s="36">
        <f>IFERROR(Calculations!$P14/12,"")</f>
        <v>46200</v>
      </c>
      <c r="U24" s="36">
        <f>IFERROR(Calculations!$P14/12,"")</f>
        <v>46200</v>
      </c>
      <c r="V24" s="36">
        <f>IFERROR(Calculations!$P14/12,"")</f>
        <v>46200</v>
      </c>
      <c r="W24" s="36">
        <f>IFERROR(Calculations!$P14/12,"")</f>
        <v>46200</v>
      </c>
      <c r="X24" s="36">
        <f>IFERROR(Calculations!$P14/12,"")</f>
        <v>46200</v>
      </c>
      <c r="Y24" s="36">
        <f>IFERROR(Calculations!$P14/12,"")</f>
        <v>46200</v>
      </c>
      <c r="Z24" s="36">
        <f>SUMIF($B$13:$Y$13,"Yes",B24:Y24)</f>
        <v>600600</v>
      </c>
      <c r="AA24" s="36">
        <f>SUM(B24:M24)</f>
        <v>554400</v>
      </c>
      <c r="AB24" s="46">
        <f>SUM(B24:Y24)</f>
        <v>1108800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</v>
      </c>
      <c r="C29" s="37">
        <f>Inputs!$B$30</f>
        <v>15000</v>
      </c>
      <c r="D29" s="37">
        <f>Inputs!$B$30</f>
        <v>15000</v>
      </c>
      <c r="E29" s="37">
        <f>Inputs!$B$30</f>
        <v>15000</v>
      </c>
      <c r="F29" s="37">
        <f>Inputs!$B$30</f>
        <v>15000</v>
      </c>
      <c r="G29" s="37">
        <f>Inputs!$B$30</f>
        <v>15000</v>
      </c>
      <c r="H29" s="37">
        <f>Inputs!$B$30</f>
        <v>15000</v>
      </c>
      <c r="I29" s="37">
        <f>Inputs!$B$30</f>
        <v>15000</v>
      </c>
      <c r="J29" s="37">
        <f>Inputs!$B$30</f>
        <v>15000</v>
      </c>
      <c r="K29" s="37">
        <f>Inputs!$B$30</f>
        <v>15000</v>
      </c>
      <c r="L29" s="37">
        <f>Inputs!$B$30</f>
        <v>15000</v>
      </c>
      <c r="M29" s="37">
        <f>Inputs!$B$30</f>
        <v>15000</v>
      </c>
      <c r="N29" s="37">
        <f>Inputs!$B$30</f>
        <v>15000</v>
      </c>
      <c r="O29" s="37">
        <f>Inputs!$B$30</f>
        <v>15000</v>
      </c>
      <c r="P29" s="37">
        <f>Inputs!$B$30</f>
        <v>15000</v>
      </c>
      <c r="Q29" s="37">
        <f>Inputs!$B$30</f>
        <v>15000</v>
      </c>
      <c r="R29" s="37">
        <f>Inputs!$B$30</f>
        <v>15000</v>
      </c>
      <c r="S29" s="37">
        <f>Inputs!$B$30</f>
        <v>15000</v>
      </c>
      <c r="T29" s="37">
        <f>Inputs!$B$30</f>
        <v>15000</v>
      </c>
      <c r="U29" s="37">
        <f>Inputs!$B$30</f>
        <v>15000</v>
      </c>
      <c r="V29" s="37">
        <f>Inputs!$B$30</f>
        <v>15000</v>
      </c>
      <c r="W29" s="37">
        <f>Inputs!$B$30</f>
        <v>15000</v>
      </c>
      <c r="X29" s="37">
        <f>Inputs!$B$30</f>
        <v>15000</v>
      </c>
      <c r="Y29" s="37">
        <f>Inputs!$B$30</f>
        <v>15000</v>
      </c>
      <c r="Z29" s="37">
        <f>SUMIF($B$13:$Y$13,"Yes",B29:Y29)</f>
        <v>195000</v>
      </c>
      <c r="AA29" s="37">
        <f>SUM(B29:M29)</f>
        <v>180000</v>
      </c>
      <c r="AB29" s="37">
        <f>SUM(B29:Y29)</f>
        <v>360000</v>
      </c>
    </row>
    <row r="30" spans="1:30" customHeight="1" ht="15.75">
      <c r="A30" s="1" t="s">
        <v>37</v>
      </c>
      <c r="B30" s="19">
        <f>SUM(B18:B29)</f>
        <v>61200</v>
      </c>
      <c r="C30" s="19">
        <f>SUM(C18:C29)</f>
        <v>61200</v>
      </c>
      <c r="D30" s="19">
        <f>SUM(D18:D29)</f>
        <v>61200</v>
      </c>
      <c r="E30" s="19">
        <f>SUM(E18:E29)</f>
        <v>61200</v>
      </c>
      <c r="F30" s="19">
        <f>SUM(F18:F29)</f>
        <v>61200</v>
      </c>
      <c r="G30" s="19">
        <f>SUM(G18:G29)</f>
        <v>61200</v>
      </c>
      <c r="H30" s="19">
        <f>SUM(H18:H29)</f>
        <v>61200</v>
      </c>
      <c r="I30" s="19">
        <f>SUM(I18:I29)</f>
        <v>61200</v>
      </c>
      <c r="J30" s="19">
        <f>SUM(J18:J29)</f>
        <v>61200</v>
      </c>
      <c r="K30" s="19">
        <f>SUM(K18:K29)</f>
        <v>61200</v>
      </c>
      <c r="L30" s="19">
        <f>SUM(L18:L29)</f>
        <v>61200</v>
      </c>
      <c r="M30" s="19">
        <f>SUM(M18:M29)</f>
        <v>61200</v>
      </c>
      <c r="N30" s="19">
        <f>SUM(N18:N29)</f>
        <v>61200</v>
      </c>
      <c r="O30" s="19">
        <f>SUM(O18:O29)</f>
        <v>61200</v>
      </c>
      <c r="P30" s="19">
        <f>SUM(P18:P29)</f>
        <v>61200</v>
      </c>
      <c r="Q30" s="19">
        <f>SUM(Q18:Q29)</f>
        <v>61200</v>
      </c>
      <c r="R30" s="19">
        <f>SUM(R18:R29)</f>
        <v>61200</v>
      </c>
      <c r="S30" s="19">
        <f>SUM(S18:S29)</f>
        <v>61200</v>
      </c>
      <c r="T30" s="19">
        <f>SUM(T18:T29)</f>
        <v>61200</v>
      </c>
      <c r="U30" s="19">
        <f>SUM(U18:U29)</f>
        <v>61200</v>
      </c>
      <c r="V30" s="19">
        <f>SUM(V18:V29)</f>
        <v>61200</v>
      </c>
      <c r="W30" s="19">
        <f>SUM(W18:W29)</f>
        <v>61200</v>
      </c>
      <c r="X30" s="19">
        <f>SUM(X18:X29)</f>
        <v>61200</v>
      </c>
      <c r="Y30" s="19">
        <f>SUM(Y18:Y29)</f>
        <v>61200</v>
      </c>
      <c r="Z30" s="19">
        <f>SUMIF($B$13:$Y$13,"Yes",B30:Y30)</f>
        <v>795600</v>
      </c>
      <c r="AA30" s="19">
        <f>SUM(B30:M30)</f>
        <v>734400</v>
      </c>
      <c r="AB30" s="19">
        <f>SUM(B30:Y30)</f>
        <v>1468800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3345.833333333333</v>
      </c>
      <c r="C74" s="46">
        <f>SUM(Calculations!$Q$14:$Q$16)/12</f>
        <v>3345.833333333333</v>
      </c>
      <c r="D74" s="46">
        <f>SUM(Calculations!$Q$14:$Q$16)/12</f>
        <v>3345.833333333333</v>
      </c>
      <c r="E74" s="46">
        <f>SUM(Calculations!$Q$14:$Q$16)/12</f>
        <v>3345.833333333333</v>
      </c>
      <c r="F74" s="46">
        <f>SUM(Calculations!$Q$14:$Q$16)/12</f>
        <v>3345.833333333333</v>
      </c>
      <c r="G74" s="46">
        <f>SUM(Calculations!$Q$14:$Q$16)/12</f>
        <v>3345.833333333333</v>
      </c>
      <c r="H74" s="46">
        <f>SUM(Calculations!$Q$14:$Q$16)/12</f>
        <v>3345.833333333333</v>
      </c>
      <c r="I74" s="46">
        <f>SUM(Calculations!$Q$14:$Q$16)/12</f>
        <v>3345.833333333333</v>
      </c>
      <c r="J74" s="46">
        <f>SUM(Calculations!$Q$14:$Q$16)/12</f>
        <v>3345.833333333333</v>
      </c>
      <c r="K74" s="46">
        <f>SUM(Calculations!$Q$14:$Q$16)/12</f>
        <v>3345.833333333333</v>
      </c>
      <c r="L74" s="46">
        <f>SUM(Calculations!$Q$14:$Q$16)/12</f>
        <v>3345.833333333333</v>
      </c>
      <c r="M74" s="46">
        <f>SUM(Calculations!$Q$14:$Q$16)/12</f>
        <v>3345.833333333333</v>
      </c>
      <c r="N74" s="46">
        <f>SUM(Calculations!$Q$14:$Q$16)/12</f>
        <v>3345.833333333333</v>
      </c>
      <c r="O74" s="46">
        <f>SUM(Calculations!$Q$14:$Q$16)/12</f>
        <v>3345.833333333333</v>
      </c>
      <c r="P74" s="46">
        <f>SUM(Calculations!$Q$14:$Q$16)/12</f>
        <v>3345.833333333333</v>
      </c>
      <c r="Q74" s="46">
        <f>SUM(Calculations!$Q$14:$Q$16)/12</f>
        <v>3345.833333333333</v>
      </c>
      <c r="R74" s="46">
        <f>SUM(Calculations!$Q$14:$Q$16)/12</f>
        <v>3345.833333333333</v>
      </c>
      <c r="S74" s="46">
        <f>SUM(Calculations!$Q$14:$Q$16)/12</f>
        <v>3345.833333333333</v>
      </c>
      <c r="T74" s="46">
        <f>SUM(Calculations!$Q$14:$Q$16)/12</f>
        <v>3345.833333333333</v>
      </c>
      <c r="U74" s="46">
        <f>SUM(Calculations!$Q$14:$Q$16)/12</f>
        <v>3345.833333333333</v>
      </c>
      <c r="V74" s="46">
        <f>SUM(Calculations!$Q$14:$Q$16)/12</f>
        <v>3345.833333333333</v>
      </c>
      <c r="W74" s="46">
        <f>SUM(Calculations!$Q$14:$Q$16)/12</f>
        <v>3345.833333333333</v>
      </c>
      <c r="X74" s="46">
        <f>SUM(Calculations!$Q$14:$Q$16)/12</f>
        <v>3345.833333333333</v>
      </c>
      <c r="Y74" s="46">
        <f>SUM(Calculations!$Q$14:$Q$16)/12</f>
        <v>3345.833333333333</v>
      </c>
      <c r="Z74" s="46">
        <f>SUMIF($B$13:$Y$13,"Yes",B74:Y74)</f>
        <v>43495.83333333334</v>
      </c>
      <c r="AA74" s="46">
        <f>SUM(B74:M74)</f>
        <v>40150</v>
      </c>
      <c r="AB74" s="46">
        <f>SUM(B74:Y74)</f>
        <v>80300</v>
      </c>
    </row>
    <row r="75" spans="1:30">
      <c r="A75" s="16" t="s">
        <v>47</v>
      </c>
      <c r="B75" s="46">
        <f>SUM(Calculations!$R$14:$R$16)/12</f>
        <v>880</v>
      </c>
      <c r="C75" s="46">
        <f>SUM(Calculations!$R$14:$R$16)/12</f>
        <v>880</v>
      </c>
      <c r="D75" s="46">
        <f>SUM(Calculations!$R$14:$R$16)/12</f>
        <v>880</v>
      </c>
      <c r="E75" s="46">
        <f>SUM(Calculations!$R$14:$R$16)/12</f>
        <v>880</v>
      </c>
      <c r="F75" s="46">
        <f>SUM(Calculations!$R$14:$R$16)/12</f>
        <v>880</v>
      </c>
      <c r="G75" s="46">
        <f>SUM(Calculations!$R$14:$R$16)/12</f>
        <v>880</v>
      </c>
      <c r="H75" s="46">
        <f>SUM(Calculations!$R$14:$R$16)/12</f>
        <v>880</v>
      </c>
      <c r="I75" s="46">
        <f>SUM(Calculations!$R$14:$R$16)/12</f>
        <v>880</v>
      </c>
      <c r="J75" s="46">
        <f>SUM(Calculations!$R$14:$R$16)/12</f>
        <v>880</v>
      </c>
      <c r="K75" s="46">
        <f>SUM(Calculations!$R$14:$R$16)/12</f>
        <v>880</v>
      </c>
      <c r="L75" s="46">
        <f>SUM(Calculations!$R$14:$R$16)/12</f>
        <v>880</v>
      </c>
      <c r="M75" s="46">
        <f>SUM(Calculations!$R$14:$R$16)/12</f>
        <v>880</v>
      </c>
      <c r="N75" s="46">
        <f>SUM(Calculations!$R$14:$R$16)/12</f>
        <v>880</v>
      </c>
      <c r="O75" s="46">
        <f>SUM(Calculations!$R$14:$R$16)/12</f>
        <v>880</v>
      </c>
      <c r="P75" s="46">
        <f>SUM(Calculations!$R$14:$R$16)/12</f>
        <v>880</v>
      </c>
      <c r="Q75" s="46">
        <f>SUM(Calculations!$R$14:$R$16)/12</f>
        <v>880</v>
      </c>
      <c r="R75" s="46">
        <f>SUM(Calculations!$R$14:$R$16)/12</f>
        <v>880</v>
      </c>
      <c r="S75" s="46">
        <f>SUM(Calculations!$R$14:$R$16)/12</f>
        <v>880</v>
      </c>
      <c r="T75" s="46">
        <f>SUM(Calculations!$R$14:$R$16)/12</f>
        <v>880</v>
      </c>
      <c r="U75" s="46">
        <f>SUM(Calculations!$R$14:$R$16)/12</f>
        <v>880</v>
      </c>
      <c r="V75" s="46">
        <f>SUM(Calculations!$R$14:$R$16)/12</f>
        <v>880</v>
      </c>
      <c r="W75" s="46">
        <f>SUM(Calculations!$R$14:$R$16)/12</f>
        <v>880</v>
      </c>
      <c r="X75" s="46">
        <f>SUM(Calculations!$R$14:$R$16)/12</f>
        <v>880</v>
      </c>
      <c r="Y75" s="46">
        <f>SUM(Calculations!$R$14:$R$16)/12</f>
        <v>880</v>
      </c>
      <c r="Z75" s="46">
        <f>SUMIF($B$13:$Y$13,"Yes",B75:Y75)</f>
        <v>11440</v>
      </c>
      <c r="AA75" s="46">
        <f>SUM(B75:M75)</f>
        <v>10560</v>
      </c>
      <c r="AB75" s="46">
        <f>SUM(B75:Y75)</f>
        <v>21120</v>
      </c>
    </row>
    <row r="76" spans="1:30">
      <c r="A76" s="16" t="s">
        <v>48</v>
      </c>
      <c r="B76" s="46">
        <f>SUM(Calculations!$S$14:$S$16)/12</f>
        <v>733.3333333333334</v>
      </c>
      <c r="C76" s="46">
        <f>SUM(Calculations!$S$14:$S$16)/12</f>
        <v>733.3333333333334</v>
      </c>
      <c r="D76" s="46">
        <f>SUM(Calculations!$S$14:$S$16)/12</f>
        <v>733.3333333333334</v>
      </c>
      <c r="E76" s="46">
        <f>SUM(Calculations!$S$14:$S$16)/12</f>
        <v>733.3333333333334</v>
      </c>
      <c r="F76" s="46">
        <f>SUM(Calculations!$S$14:$S$16)/12</f>
        <v>733.3333333333334</v>
      </c>
      <c r="G76" s="46">
        <f>SUM(Calculations!$S$14:$S$16)/12</f>
        <v>733.3333333333334</v>
      </c>
      <c r="H76" s="46">
        <f>SUM(Calculations!$S$14:$S$16)/12</f>
        <v>733.3333333333334</v>
      </c>
      <c r="I76" s="46">
        <f>SUM(Calculations!$S$14:$S$16)/12</f>
        <v>733.3333333333334</v>
      </c>
      <c r="J76" s="46">
        <f>SUM(Calculations!$S$14:$S$16)/12</f>
        <v>733.3333333333334</v>
      </c>
      <c r="K76" s="46">
        <f>SUM(Calculations!$S$14:$S$16)/12</f>
        <v>733.3333333333334</v>
      </c>
      <c r="L76" s="46">
        <f>SUM(Calculations!$S$14:$S$16)/12</f>
        <v>733.3333333333334</v>
      </c>
      <c r="M76" s="46">
        <f>SUM(Calculations!$S$14:$S$16)/12</f>
        <v>733.3333333333334</v>
      </c>
      <c r="N76" s="46">
        <f>SUM(Calculations!$S$14:$S$16)/12</f>
        <v>733.3333333333334</v>
      </c>
      <c r="O76" s="46">
        <f>SUM(Calculations!$S$14:$S$16)/12</f>
        <v>733.3333333333334</v>
      </c>
      <c r="P76" s="46">
        <f>SUM(Calculations!$S$14:$S$16)/12</f>
        <v>733.3333333333334</v>
      </c>
      <c r="Q76" s="46">
        <f>SUM(Calculations!$S$14:$S$16)/12</f>
        <v>733.3333333333334</v>
      </c>
      <c r="R76" s="46">
        <f>SUM(Calculations!$S$14:$S$16)/12</f>
        <v>733.3333333333334</v>
      </c>
      <c r="S76" s="46">
        <f>SUM(Calculations!$S$14:$S$16)/12</f>
        <v>733.3333333333334</v>
      </c>
      <c r="T76" s="46">
        <f>SUM(Calculations!$S$14:$S$16)/12</f>
        <v>733.3333333333334</v>
      </c>
      <c r="U76" s="46">
        <f>SUM(Calculations!$S$14:$S$16)/12</f>
        <v>733.3333333333334</v>
      </c>
      <c r="V76" s="46">
        <f>SUM(Calculations!$S$14:$S$16)/12</f>
        <v>733.3333333333334</v>
      </c>
      <c r="W76" s="46">
        <f>SUM(Calculations!$S$14:$S$16)/12</f>
        <v>733.3333333333334</v>
      </c>
      <c r="X76" s="46">
        <f>SUM(Calculations!$S$14:$S$16)/12</f>
        <v>733.3333333333334</v>
      </c>
      <c r="Y76" s="46">
        <f>SUM(Calculations!$S$14:$S$16)/12</f>
        <v>733.3333333333334</v>
      </c>
      <c r="Z76" s="46">
        <f>SUMIF($B$13:$Y$13,"Yes",B76:Y76)</f>
        <v>9533.333333333332</v>
      </c>
      <c r="AA76" s="46">
        <f>SUM(B76:M76)</f>
        <v>8799.999999999998</v>
      </c>
      <c r="AB76" s="46">
        <f>SUM(B76:Y76)</f>
        <v>17600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22496.33333333333</v>
      </c>
      <c r="C81" s="46">
        <f>(SUM($AA$18:$AA$29)-SUM($AA$36,$AA$42,$AA$48,$AA$54,$AA$60,$AA$66,$AA$72:$AA$79))*Parameters!$B$37/12</f>
        <v>22496.33333333333</v>
      </c>
      <c r="D81" s="46">
        <f>(SUM($AA$18:$AA$29)-SUM($AA$36,$AA$42,$AA$48,$AA$54,$AA$60,$AA$66,$AA$72:$AA$79))*Parameters!$B$37/12</f>
        <v>22496.33333333333</v>
      </c>
      <c r="E81" s="46">
        <f>(SUM($AA$18:$AA$29)-SUM($AA$36,$AA$42,$AA$48,$AA$54,$AA$60,$AA$66,$AA$72:$AA$79))*Parameters!$B$37/12</f>
        <v>22496.33333333333</v>
      </c>
      <c r="F81" s="46">
        <f>(SUM($AA$18:$AA$29)-SUM($AA$36,$AA$42,$AA$48,$AA$54,$AA$60,$AA$66,$AA$72:$AA$79))*Parameters!$B$37/12</f>
        <v>22496.33333333333</v>
      </c>
      <c r="G81" s="46">
        <f>(SUM($AA$18:$AA$29)-SUM($AA$36,$AA$42,$AA$48,$AA$54,$AA$60,$AA$66,$AA$72:$AA$79))*Parameters!$B$37/12</f>
        <v>22496.33333333333</v>
      </c>
      <c r="H81" s="46">
        <f>(SUM($AA$18:$AA$29)-SUM($AA$36,$AA$42,$AA$48,$AA$54,$AA$60,$AA$66,$AA$72:$AA$79))*Parameters!$B$37/12</f>
        <v>22496.33333333333</v>
      </c>
      <c r="I81" s="46">
        <f>(SUM($AA$18:$AA$29)-SUM($AA$36,$AA$42,$AA$48,$AA$54,$AA$60,$AA$66,$AA$72:$AA$79))*Parameters!$B$37/12</f>
        <v>22496.33333333333</v>
      </c>
      <c r="J81" s="46">
        <f>(SUM($AA$18:$AA$29)-SUM($AA$36,$AA$42,$AA$48,$AA$54,$AA$60,$AA$66,$AA$72:$AA$79))*Parameters!$B$37/12</f>
        <v>22496.33333333333</v>
      </c>
      <c r="K81" s="46">
        <f>(SUM($AA$18:$AA$29)-SUM($AA$36,$AA$42,$AA$48,$AA$54,$AA$60,$AA$66,$AA$72:$AA$79))*Parameters!$B$37/12</f>
        <v>22496.33333333333</v>
      </c>
      <c r="L81" s="46">
        <f>(SUM($AA$18:$AA$29)-SUM($AA$36,$AA$42,$AA$48,$AA$54,$AA$60,$AA$66,$AA$72:$AA$79))*Parameters!$B$37/12</f>
        <v>22496.33333333333</v>
      </c>
      <c r="M81" s="46">
        <f>(SUM($AA$18:$AA$29)-SUM($AA$36,$AA$42,$AA$48,$AA$54,$AA$60,$AA$66,$AA$72:$AA$79))*Parameters!$B$37/12</f>
        <v>22496.33333333333</v>
      </c>
      <c r="N81" s="46">
        <f>(SUM($AA$18:$AA$29)-SUM($AA$36,$AA$42,$AA$48,$AA$54,$AA$60,$AA$66,$AA$72:$AA$79))*Parameters!$B$37/12</f>
        <v>22496.33333333333</v>
      </c>
      <c r="O81" s="46">
        <f>(SUM($AA$18:$AA$29)-SUM($AA$36,$AA$42,$AA$48,$AA$54,$AA$60,$AA$66,$AA$72:$AA$79))*Parameters!$B$37/12</f>
        <v>22496.33333333333</v>
      </c>
      <c r="P81" s="46">
        <f>(SUM($AA$18:$AA$29)-SUM($AA$36,$AA$42,$AA$48,$AA$54,$AA$60,$AA$66,$AA$72:$AA$79))*Parameters!$B$37/12</f>
        <v>22496.33333333333</v>
      </c>
      <c r="Q81" s="46">
        <f>(SUM($AA$18:$AA$29)-SUM($AA$36,$AA$42,$AA$48,$AA$54,$AA$60,$AA$66,$AA$72:$AA$79))*Parameters!$B$37/12</f>
        <v>22496.33333333333</v>
      </c>
      <c r="R81" s="46">
        <f>(SUM($AA$18:$AA$29)-SUM($AA$36,$AA$42,$AA$48,$AA$54,$AA$60,$AA$66,$AA$72:$AA$79))*Parameters!$B$37/12</f>
        <v>22496.33333333333</v>
      </c>
      <c r="S81" s="46">
        <f>(SUM($AA$18:$AA$29)-SUM($AA$36,$AA$42,$AA$48,$AA$54,$AA$60,$AA$66,$AA$72:$AA$79))*Parameters!$B$37/12</f>
        <v>22496.33333333333</v>
      </c>
      <c r="T81" s="46">
        <f>(SUM($AA$18:$AA$29)-SUM($AA$36,$AA$42,$AA$48,$AA$54,$AA$60,$AA$66,$AA$72:$AA$79))*Parameters!$B$37/12</f>
        <v>22496.33333333333</v>
      </c>
      <c r="U81" s="46">
        <f>(SUM($AA$18:$AA$29)-SUM($AA$36,$AA$42,$AA$48,$AA$54,$AA$60,$AA$66,$AA$72:$AA$79))*Parameters!$B$37/12</f>
        <v>22496.33333333333</v>
      </c>
      <c r="V81" s="46">
        <f>(SUM($AA$18:$AA$29)-SUM($AA$36,$AA$42,$AA$48,$AA$54,$AA$60,$AA$66,$AA$72:$AA$79))*Parameters!$B$37/12</f>
        <v>22496.33333333333</v>
      </c>
      <c r="W81" s="46">
        <f>(SUM($AA$18:$AA$29)-SUM($AA$36,$AA$42,$AA$48,$AA$54,$AA$60,$AA$66,$AA$72:$AA$79))*Parameters!$B$37/12</f>
        <v>22496.33333333333</v>
      </c>
      <c r="X81" s="46">
        <f>(SUM($AA$18:$AA$29)-SUM($AA$36,$AA$42,$AA$48,$AA$54,$AA$60,$AA$66,$AA$72:$AA$79))*Parameters!$B$37/12</f>
        <v>22496.33333333333</v>
      </c>
      <c r="Y81" s="46">
        <f>(SUM($AA$18:$AA$29)-SUM($AA$36,$AA$42,$AA$48,$AA$54,$AA$60,$AA$66,$AA$72:$AA$79))*Parameters!$B$37/12</f>
        <v>22496.33333333333</v>
      </c>
      <c r="Z81" s="46">
        <f>SUMIF($B$13:$Y$13,"Yes",B81:Y81)</f>
        <v>292452.3333333334</v>
      </c>
      <c r="AA81" s="46">
        <f>SUM(B81:M81)</f>
        <v>269956.0000000001</v>
      </c>
      <c r="AB81" s="46">
        <f>SUM(B81:Y81)</f>
        <v>539911.9999999999</v>
      </c>
    </row>
    <row r="82" spans="1:30">
      <c r="A82" s="16" t="s">
        <v>52</v>
      </c>
      <c r="B82" s="46">
        <f>SUM(B83:B87)</f>
        <v>12095.59770114943</v>
      </c>
      <c r="C82" s="46">
        <f>SUM(C83:C87)</f>
        <v>12095.59770114943</v>
      </c>
      <c r="D82" s="46">
        <f>SUM(D83:D87)</f>
        <v>11681.80459770115</v>
      </c>
      <c r="E82" s="46">
        <f>SUM(E83:E87)</f>
        <v>7591</v>
      </c>
      <c r="F82" s="46">
        <f>SUM(F83:F87)</f>
        <v>7591</v>
      </c>
      <c r="G82" s="46">
        <f>SUM(G83:G87)</f>
        <v>5341</v>
      </c>
      <c r="H82" s="46">
        <f>SUM(H83:H87)</f>
        <v>249.3333333333333</v>
      </c>
      <c r="I82" s="46">
        <f>SUM(I83:I87)</f>
        <v>249.3333333333333</v>
      </c>
      <c r="J82" s="46">
        <f>SUM(J83:J87)</f>
        <v>249.3333333333333</v>
      </c>
      <c r="K82" s="46">
        <f>SUM(K83:K87)</f>
        <v>249.3333333333333</v>
      </c>
      <c r="L82" s="46">
        <f>SUM(L83:L87)</f>
        <v>249.3333333333333</v>
      </c>
      <c r="M82" s="46">
        <f>SUM(M83:M87)</f>
        <v>249.3333333333333</v>
      </c>
      <c r="N82" s="46">
        <f>SUM(N83:N87)</f>
        <v>249.3333333333333</v>
      </c>
      <c r="O82" s="46">
        <f>SUM(O83:O87)</f>
        <v>249.3333333333333</v>
      </c>
      <c r="P82" s="46">
        <f>SUM(P83:P87)</f>
        <v>249.3333333333333</v>
      </c>
      <c r="Q82" s="46">
        <f>SUM(Q83:Q87)</f>
        <v>249.3333333333333</v>
      </c>
      <c r="R82" s="46">
        <f>SUM(R83:R87)</f>
        <v>249.3333333333333</v>
      </c>
      <c r="S82" s="46">
        <f>SUM(S83:S87)</f>
        <v>249.3333333333333</v>
      </c>
      <c r="T82" s="46">
        <f>SUM(T83:T87)</f>
        <v>249.3333333333333</v>
      </c>
      <c r="U82" s="46">
        <f>SUM(U83:U87)</f>
        <v>249.3333333333333</v>
      </c>
      <c r="V82" s="46">
        <f>SUM(V83:V87)</f>
        <v>249.3333333333333</v>
      </c>
      <c r="W82" s="46">
        <f>SUM(W83:W87)</f>
        <v>249.3333333333333</v>
      </c>
      <c r="X82" s="46">
        <f>SUM(X83:X87)</f>
        <v>249.3333333333333</v>
      </c>
      <c r="Y82" s="46">
        <f>SUM(Y83:Y87)</f>
        <v>249.3333333333333</v>
      </c>
      <c r="Z82" s="46">
        <f>SUMIF($B$13:$Y$13,"Yes",B82:Y82)</f>
        <v>58141.33333333335</v>
      </c>
      <c r="AA82" s="46">
        <f>SUM(B82:M82)</f>
        <v>57892.00000000001</v>
      </c>
      <c r="AB82" s="46">
        <f>SUM(B82:Y82)</f>
        <v>60884.00000000004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7341.666666666667</v>
      </c>
      <c r="C83" s="46">
        <f>IF(Calculations!$E23&gt;COUNT(Output!$B$35:C$35),Calculations!$B23,IF(Calculations!$E23=COUNT(Output!$B$35:C$35),Inputs!$B56-Calculations!$C23*(Calculations!$E23-1)+Calculations!$D23,0))</f>
        <v>7341.666666666667</v>
      </c>
      <c r="D83" s="46">
        <f>IF(Calculations!$E23&gt;COUNT(Output!$B$35:D$35),Calculations!$B23,IF(Calculations!$E23=COUNT(Output!$B$35:D$35),Inputs!$B56-Calculations!$C23*(Calculations!$E23-1)+Calculations!$D23,0))</f>
        <v>7341.666666666667</v>
      </c>
      <c r="E83" s="46">
        <f>IF(Calculations!$E23&gt;COUNT(Output!$B$35:E$35),Calculations!$B23,IF(Calculations!$E23=COUNT(Output!$B$35:E$35),Inputs!$B56-Calculations!$C23*(Calculations!$E23-1)+Calculations!$D23,0))</f>
        <v>7341.666666666667</v>
      </c>
      <c r="F83" s="46">
        <f>IF(Calculations!$E23&gt;COUNT(Output!$B$35:F$35),Calculations!$B23,IF(Calculations!$E23=COUNT(Output!$B$35:F$35),Inputs!$B56-Calculations!$C23*(Calculations!$E23-1)+Calculations!$D23,0))</f>
        <v>7341.666666666667</v>
      </c>
      <c r="G83" s="46">
        <f>IF(Calculations!$E23&gt;COUNT(Output!$B$35:G$35),Calculations!$B23,IF(Calculations!$E23=COUNT(Output!$B$35:G$35),Inputs!$B56-Calculations!$C23*(Calculations!$E23-1)+Calculations!$D23,0))</f>
        <v>5091.666666666667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41800</v>
      </c>
      <c r="AA83" s="46">
        <f>SUM(B83:M83)</f>
        <v>41800</v>
      </c>
      <c r="AB83" s="46">
        <f>SUM(B83:Y83)</f>
        <v>41800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249.3333333333333</v>
      </c>
      <c r="C84" s="46">
        <f>IF(Calculations!$E24&gt;COUNT(Output!$B$35:C$35),Calculations!$B24,IF(Calculations!$E24=COUNT(Output!$B$35:C$35),Inputs!$B57-Calculations!$C24*(Calculations!$E24-1)+Calculations!$D24,0))</f>
        <v>249.3333333333333</v>
      </c>
      <c r="D84" s="46">
        <f>IF(Calculations!$E24&gt;COUNT(Output!$B$35:D$35),Calculations!$B24,IF(Calculations!$E24=COUNT(Output!$B$35:D$35),Inputs!$B57-Calculations!$C24*(Calculations!$E24-1)+Calculations!$D24,0))</f>
        <v>249.3333333333333</v>
      </c>
      <c r="E84" s="46">
        <f>IF(Calculations!$E24&gt;COUNT(Output!$B$35:E$35),Calculations!$B24,IF(Calculations!$E24=COUNT(Output!$B$35:E$35),Inputs!$B57-Calculations!$C24*(Calculations!$E24-1)+Calculations!$D24,0))</f>
        <v>249.3333333333333</v>
      </c>
      <c r="F84" s="46">
        <f>IF(Calculations!$E24&gt;COUNT(Output!$B$35:F$35),Calculations!$B24,IF(Calculations!$E24=COUNT(Output!$B$35:F$35),Inputs!$B57-Calculations!$C24*(Calculations!$E24-1)+Calculations!$D24,0))</f>
        <v>249.3333333333333</v>
      </c>
      <c r="G84" s="46">
        <f>IF(Calculations!$E24&gt;COUNT(Output!$B$35:G$35),Calculations!$B24,IF(Calculations!$E24=COUNT(Output!$B$35:G$35),Inputs!$B57-Calculations!$C24*(Calculations!$E24-1)+Calculations!$D24,0))</f>
        <v>249.3333333333333</v>
      </c>
      <c r="H84" s="46">
        <f>IF(Calculations!$E24&gt;COUNT(Output!$B$35:H$35),Calculations!$B24,IF(Calculations!$E24=COUNT(Output!$B$35:H$35),Inputs!$B57-Calculations!$C24*(Calculations!$E24-1)+Calculations!$D24,0))</f>
        <v>249.3333333333333</v>
      </c>
      <c r="I84" s="46">
        <f>IF(Calculations!$E24&gt;COUNT(Output!$B$35:I$35),Calculations!$B24,IF(Calculations!$E24=COUNT(Output!$B$35:I$35),Inputs!$B57-Calculations!$C24*(Calculations!$E24-1)+Calculations!$D24,0))</f>
        <v>249.3333333333333</v>
      </c>
      <c r="J84" s="46">
        <f>IF(Calculations!$E24&gt;COUNT(Output!$B$35:J$35),Calculations!$B24,IF(Calculations!$E24=COUNT(Output!$B$35:J$35),Inputs!$B57-Calculations!$C24*(Calculations!$E24-1)+Calculations!$D24,0))</f>
        <v>249.3333333333333</v>
      </c>
      <c r="K84" s="46">
        <f>IF(Calculations!$E24&gt;COUNT(Output!$B$35:K$35),Calculations!$B24,IF(Calculations!$E24=COUNT(Output!$B$35:K$35),Inputs!$B57-Calculations!$C24*(Calculations!$E24-1)+Calculations!$D24,0))</f>
        <v>249.3333333333333</v>
      </c>
      <c r="L84" s="46">
        <f>IF(Calculations!$E24&gt;COUNT(Output!$B$35:L$35),Calculations!$B24,IF(Calculations!$E24=COUNT(Output!$B$35:L$35),Inputs!$B57-Calculations!$C24*(Calculations!$E24-1)+Calculations!$D24,0))</f>
        <v>249.3333333333333</v>
      </c>
      <c r="M84" s="46">
        <f>IF(Calculations!$E24&gt;COUNT(Output!$B$35:M$35),Calculations!$B24,IF(Calculations!$E24=COUNT(Output!$B$35:M$35),Inputs!$B57-Calculations!$C24*(Calculations!$E24-1)+Calculations!$D24,0))</f>
        <v>249.3333333333333</v>
      </c>
      <c r="N84" s="46">
        <f>IF(Calculations!$E24&gt;COUNT(Output!$B$35:N$35),Calculations!$B24,IF(Calculations!$E24=COUNT(Output!$B$35:N$35),Inputs!$B57-Calculations!$C24*(Calculations!$E24-1)+Calculations!$D24,0))</f>
        <v>249.3333333333333</v>
      </c>
      <c r="O84" s="46">
        <f>IF(Calculations!$E24&gt;COUNT(Output!$B$35:O$35),Calculations!$B24,IF(Calculations!$E24=COUNT(Output!$B$35:O$35),Inputs!$B57-Calculations!$C24*(Calculations!$E24-1)+Calculations!$D24,0))</f>
        <v>249.3333333333333</v>
      </c>
      <c r="P84" s="46">
        <f>IF(Calculations!$E24&gt;COUNT(Output!$B$35:P$35),Calculations!$B24,IF(Calculations!$E24=COUNT(Output!$B$35:P$35),Inputs!$B57-Calculations!$C24*(Calculations!$E24-1)+Calculations!$D24,0))</f>
        <v>249.3333333333333</v>
      </c>
      <c r="Q84" s="46">
        <f>IF(Calculations!$E24&gt;COUNT(Output!$B$35:Q$35),Calculations!$B24,IF(Calculations!$E24=COUNT(Output!$B$35:Q$35),Inputs!$B57-Calculations!$C24*(Calculations!$E24-1)+Calculations!$D24,0))</f>
        <v>249.3333333333333</v>
      </c>
      <c r="R84" s="46">
        <f>IF(Calculations!$E24&gt;COUNT(Output!$B$35:R$35),Calculations!$B24,IF(Calculations!$E24=COUNT(Output!$B$35:R$35),Inputs!$B57-Calculations!$C24*(Calculations!$E24-1)+Calculations!$D24,0))</f>
        <v>249.3333333333333</v>
      </c>
      <c r="S84" s="46">
        <f>IF(Calculations!$E24&gt;COUNT(Output!$B$35:S$35),Calculations!$B24,IF(Calculations!$E24=COUNT(Output!$B$35:S$35),Inputs!$B57-Calculations!$C24*(Calculations!$E24-1)+Calculations!$D24,0))</f>
        <v>249.3333333333333</v>
      </c>
      <c r="T84" s="46">
        <f>IF(Calculations!$E24&gt;COUNT(Output!$B$35:T$35),Calculations!$B24,IF(Calculations!$E24=COUNT(Output!$B$35:T$35),Inputs!$B57-Calculations!$C24*(Calculations!$E24-1)+Calculations!$D24,0))</f>
        <v>249.3333333333333</v>
      </c>
      <c r="U84" s="46">
        <f>IF(Calculations!$E24&gt;COUNT(Output!$B$35:U$35),Calculations!$B24,IF(Calculations!$E24=COUNT(Output!$B$35:U$35),Inputs!$B57-Calculations!$C24*(Calculations!$E24-1)+Calculations!$D24,0))</f>
        <v>249.3333333333333</v>
      </c>
      <c r="V84" s="46">
        <f>IF(Calculations!$E24&gt;COUNT(Output!$B$35:V$35),Calculations!$B24,IF(Calculations!$E24=COUNT(Output!$B$35:V$35),Inputs!$B57-Calculations!$C24*(Calculations!$E24-1)+Calculations!$D24,0))</f>
        <v>249.3333333333333</v>
      </c>
      <c r="W84" s="46">
        <f>IF(Calculations!$E24&gt;COUNT(Output!$B$35:W$35),Calculations!$B24,IF(Calculations!$E24=COUNT(Output!$B$35:W$35),Inputs!$B57-Calculations!$C24*(Calculations!$E24-1)+Calculations!$D24,0))</f>
        <v>249.3333333333333</v>
      </c>
      <c r="X84" s="46">
        <f>IF(Calculations!$E24&gt;COUNT(Output!$B$35:X$35),Calculations!$B24,IF(Calculations!$E24=COUNT(Output!$B$35:X$35),Inputs!$B57-Calculations!$C24*(Calculations!$E24-1)+Calculations!$D24,0))</f>
        <v>249.3333333333333</v>
      </c>
      <c r="Y84" s="46">
        <f>IF(Calculations!$E24&gt;COUNT(Output!$B$35:Y$35),Calculations!$B24,IF(Calculations!$E24=COUNT(Output!$B$35:Y$35),Inputs!$B57-Calculations!$C24*(Calculations!$E24-1)+Calculations!$D24,0))</f>
        <v>249.3333333333333</v>
      </c>
      <c r="Z84" s="46">
        <f>SUMIF($B$13:$Y$13,"Yes",B84:Y84)</f>
        <v>3241.333333333334</v>
      </c>
      <c r="AA84" s="46">
        <f>SUM(B84:M84)</f>
        <v>2992</v>
      </c>
      <c r="AB84" s="46">
        <f>SUM(B84:Y84)</f>
        <v>5983.999999999999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4504.597701149426</v>
      </c>
      <c r="C85" s="46">
        <f>IF(Calculations!$E25&gt;COUNT(Output!$B$35:C$35),Calculations!$B25,IF(Calculations!$E25=COUNT(Output!$B$35:C$35),Inputs!$B58-Calculations!$C25*(Calculations!$E25-1)+Calculations!$D25,0))</f>
        <v>4504.597701149426</v>
      </c>
      <c r="D85" s="46">
        <f>IF(Calculations!$E25&gt;COUNT(Output!$B$35:D$35),Calculations!$B25,IF(Calculations!$E25=COUNT(Output!$B$35:D$35),Inputs!$B58-Calculations!$C25*(Calculations!$E25-1)+Calculations!$D25,0))</f>
        <v>4090.804597701148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13100</v>
      </c>
      <c r="AA85" s="46">
        <f>SUM(B85:M85)</f>
        <v>13100</v>
      </c>
      <c r="AB85" s="46">
        <f>SUM(B85:Y85)</f>
        <v>13100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39551.09770114943</v>
      </c>
      <c r="C88" s="19">
        <f>SUM(C72:C82,C66,C60,C54,C48,C42,C36)</f>
        <v>39551.09770114943</v>
      </c>
      <c r="D88" s="19">
        <f>SUM(D72:D82,D66,D60,D54,D48,D42,D36)</f>
        <v>39137.30459770115</v>
      </c>
      <c r="E88" s="19">
        <f>SUM(E72:E82,E66,E60,E54,E48,E42,E36)</f>
        <v>35046.5</v>
      </c>
      <c r="F88" s="19">
        <f>SUM(F72:F82,F66,F60,F54,F48,F42,F36)</f>
        <v>35046.5</v>
      </c>
      <c r="G88" s="19">
        <f>SUM(G72:G82,G66,G60,G54,G48,G42,G36)</f>
        <v>32796.5</v>
      </c>
      <c r="H88" s="19">
        <f>SUM(H72:H82,H66,H60,H54,H48,H42,H36)</f>
        <v>27704.83333333333</v>
      </c>
      <c r="I88" s="19">
        <f>SUM(I72:I82,I66,I60,I54,I48,I42,I36)</f>
        <v>27704.83333333333</v>
      </c>
      <c r="J88" s="19">
        <f>SUM(J72:J82,J66,J60,J54,J48,J42,J36)</f>
        <v>27704.83333333333</v>
      </c>
      <c r="K88" s="19">
        <f>SUM(K72:K82,K66,K60,K54,K48,K42,K36)</f>
        <v>27704.83333333333</v>
      </c>
      <c r="L88" s="19">
        <f>SUM(L72:L82,L66,L60,L54,L48,L42,L36)</f>
        <v>27704.83333333333</v>
      </c>
      <c r="M88" s="19">
        <f>SUM(M72:M82,M66,M60,M54,M48,M42,M36)</f>
        <v>27704.83333333333</v>
      </c>
      <c r="N88" s="19">
        <f>SUM(N72:N82,N66,N60,N54,N48,N42,N36)</f>
        <v>27704.83333333333</v>
      </c>
      <c r="O88" s="19">
        <f>SUM(O72:O82,O66,O60,O54,O48,O42,O36)</f>
        <v>27704.83333333333</v>
      </c>
      <c r="P88" s="19">
        <f>SUM(P72:P82,P66,P60,P54,P48,P42,P36)</f>
        <v>27704.83333333333</v>
      </c>
      <c r="Q88" s="19">
        <f>SUM(Q72:Q82,Q66,Q60,Q54,Q48,Q42,Q36)</f>
        <v>27704.83333333333</v>
      </c>
      <c r="R88" s="19">
        <f>SUM(R72:R82,R66,R60,R54,R48,R42,R36)</f>
        <v>27704.83333333333</v>
      </c>
      <c r="S88" s="19">
        <f>SUM(S72:S82,S66,S60,S54,S48,S42,S36)</f>
        <v>27704.83333333333</v>
      </c>
      <c r="T88" s="19">
        <f>SUM(T72:T82,T66,T60,T54,T48,T42,T36)</f>
        <v>27704.83333333333</v>
      </c>
      <c r="U88" s="19">
        <f>SUM(U72:U82,U66,U60,U54,U48,U42,U36)</f>
        <v>27704.83333333333</v>
      </c>
      <c r="V88" s="19">
        <f>SUM(V72:V82,V66,V60,V54,V48,V42,V36)</f>
        <v>27704.83333333333</v>
      </c>
      <c r="W88" s="19">
        <f>SUM(W72:W82,W66,W60,W54,W48,W42,W36)</f>
        <v>27704.83333333333</v>
      </c>
      <c r="X88" s="19">
        <f>SUM(X72:X82,X66,X60,X54,X48,X42,X36)</f>
        <v>27704.83333333333</v>
      </c>
      <c r="Y88" s="19">
        <f>SUM(Y72:Y82,Y66,Y60,Y54,Y48,Y42,Y36)</f>
        <v>27704.83333333333</v>
      </c>
      <c r="Z88" s="19">
        <f>SUMIF($B$13:$Y$13,"Yes",B88:Y88)</f>
        <v>415062.8333333333</v>
      </c>
      <c r="AA88" s="19">
        <f>SUM(B88:M88)</f>
        <v>387357.9999999999</v>
      </c>
      <c r="AB88" s="19">
        <f>SUM(B88:Y88)</f>
        <v>719816.0000000001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277</v>
      </c>
    </row>
    <row r="95" spans="1:30">
      <c r="A95" t="s">
        <v>61</v>
      </c>
      <c r="B95" s="36">
        <f>Inputs!B47</f>
        <v>99000</v>
      </c>
    </row>
    <row r="96" spans="1:30">
      <c r="A96" t="s">
        <v>62</v>
      </c>
      <c r="B96" s="36">
        <f>SUMPRODUCT(Inputs!C19:C21,Calculations!O14:O16)</f>
        <v>55000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120000</v>
      </c>
    </row>
    <row r="100" spans="1:30" customHeight="1" ht="15.75">
      <c r="A100" s="18" t="s">
        <v>66</v>
      </c>
      <c r="B100" s="37">
        <f>Inputs!B48</f>
        <v>80000</v>
      </c>
    </row>
    <row r="101" spans="1:30" customHeight="1" ht="15.75">
      <c r="A101" s="1" t="s">
        <v>67</v>
      </c>
      <c r="B101" s="19">
        <f>SUM(B94:B100)</f>
        <v>354277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58600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158600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220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15000</v>
      </c>
    </row>
    <row r="31" spans="1:48">
      <c r="A31" s="5" t="s">
        <v>111</v>
      </c>
      <c r="B31" s="158">
        <v>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124</v>
      </c>
    </row>
    <row r="45" spans="1:48">
      <c r="A45" s="56" t="s">
        <v>125</v>
      </c>
      <c r="B45" s="161"/>
    </row>
    <row r="46" spans="1:48" customHeight="1" ht="30">
      <c r="A46" s="57" t="s">
        <v>126</v>
      </c>
      <c r="B46" s="161">
        <v>120000</v>
      </c>
    </row>
    <row r="47" spans="1:48" customHeight="1" ht="30">
      <c r="A47" s="57" t="s">
        <v>127</v>
      </c>
      <c r="B47" s="161">
        <v>99000</v>
      </c>
    </row>
    <row r="48" spans="1:48" customHeight="1" ht="30">
      <c r="A48" s="57" t="s">
        <v>128</v>
      </c>
      <c r="B48" s="161">
        <v>80000</v>
      </c>
    </row>
    <row r="49" spans="1:48" customHeight="1" ht="30">
      <c r="A49" s="57" t="s">
        <v>129</v>
      </c>
      <c r="B49" s="161">
        <v>277</v>
      </c>
    </row>
    <row r="50" spans="1:48">
      <c r="A50" s="43"/>
      <c r="B50" s="36"/>
    </row>
    <row r="51" spans="1:48">
      <c r="A51" s="58" t="s">
        <v>130</v>
      </c>
      <c r="B51" s="161">
        <v>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>
        <v>80000</v>
      </c>
      <c r="B56" s="159">
        <v>33000</v>
      </c>
      <c r="C56" s="162" t="s">
        <v>138</v>
      </c>
      <c r="D56" s="163" t="s">
        <v>139</v>
      </c>
      <c r="E56" s="163" t="s">
        <v>103</v>
      </c>
      <c r="F56" s="163" t="s">
        <v>140</v>
      </c>
    </row>
    <row r="57" spans="1:48">
      <c r="A57" s="157">
        <v>13600</v>
      </c>
      <c r="B57" s="157">
        <v>13600</v>
      </c>
      <c r="C57" s="164" t="s">
        <v>141</v>
      </c>
      <c r="D57" s="165" t="s">
        <v>142</v>
      </c>
      <c r="E57" s="165" t="s">
        <v>103</v>
      </c>
      <c r="F57" s="165" t="s">
        <v>143</v>
      </c>
    </row>
    <row r="58" spans="1:48">
      <c r="A58" s="157">
        <v>20000</v>
      </c>
      <c r="B58" s="157">
        <v>12000</v>
      </c>
      <c r="C58" s="164" t="s">
        <v>144</v>
      </c>
      <c r="D58" s="165" t="s">
        <v>145</v>
      </c>
      <c r="E58" s="165" t="s">
        <v>103</v>
      </c>
      <c r="F58" s="165" t="s">
        <v>146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148</v>
      </c>
      <c r="C65" s="10" t="s">
        <v>149</v>
      </c>
    </row>
    <row r="66" spans="1:48">
      <c r="A66" s="142" t="s">
        <v>150</v>
      </c>
      <c r="B66" s="159">
        <v>25828</v>
      </c>
      <c r="C66" s="163">
        <v>25722</v>
      </c>
      <c r="D66" s="49">
        <f>INDEX(Parameters!$D$79:$D$90,MATCH(Inputs!A66,Parameters!$C$79:$C$90,0))</f>
        <v>7</v>
      </c>
    </row>
    <row r="67" spans="1:48">
      <c r="A67" s="143" t="s">
        <v>151</v>
      </c>
      <c r="B67" s="157">
        <v>85748</v>
      </c>
      <c r="C67" s="165">
        <v>85730</v>
      </c>
      <c r="D67" s="49">
        <f>INDEX(Parameters!$D$79:$D$90,MATCH(Inputs!A67,Parameters!$C$79:$C$90,0))</f>
        <v>6</v>
      </c>
    </row>
    <row r="68" spans="1:48">
      <c r="A68" s="143" t="s">
        <v>152</v>
      </c>
      <c r="B68" s="157">
        <v>130782</v>
      </c>
      <c r="C68" s="165">
        <v>110756</v>
      </c>
      <c r="D68" s="49">
        <f>INDEX(Parameters!$D$79:$D$90,MATCH(Inputs!A68,Parameters!$C$79:$C$90,0))</f>
        <v>5</v>
      </c>
    </row>
    <row r="69" spans="1:48">
      <c r="A69" s="143" t="s">
        <v>153</v>
      </c>
      <c r="B69" s="157">
        <v>59156</v>
      </c>
      <c r="C69" s="165">
        <v>46852</v>
      </c>
      <c r="D69" s="49">
        <f>INDEX(Parameters!$D$79:$D$90,MATCH(Inputs!A69,Parameters!$C$79:$C$90,0))</f>
        <v>4</v>
      </c>
    </row>
    <row r="70" spans="1:48">
      <c r="A70" s="143" t="s">
        <v>154</v>
      </c>
      <c r="B70" s="157">
        <v>78701</v>
      </c>
      <c r="C70" s="165">
        <v>75722</v>
      </c>
      <c r="D70" s="49">
        <f>INDEX(Parameters!$D$79:$D$90,MATCH(Inputs!A70,Parameters!$C$79:$C$90,0))</f>
        <v>3</v>
      </c>
    </row>
    <row r="71" spans="1:48">
      <c r="A71" s="144" t="s">
        <v>155</v>
      </c>
      <c r="B71" s="158">
        <v>61580</v>
      </c>
      <c r="C71" s="167">
        <v>55980</v>
      </c>
      <c r="D71" s="49">
        <f>INDEX(Parameters!$D$79:$D$90,MATCH(Inputs!A71,Parameters!$C$79:$C$90,0))</f>
        <v>2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16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7</v>
      </c>
      <c r="AD4" s="60">
        <f>IF($A4=0,1/12,IFERROR(INDEX(Parameters!$X$2:$AI$17,MATCH(Calculations!$A4,Parameters!$A$2:$A$17,0),MONTH(Calculations!AD$3)),1/12))</f>
        <v>8</v>
      </c>
      <c r="AE4" s="60">
        <f>IF($A4=0,1/12,IFERROR(INDEX(Parameters!$X$2:$AI$17,MATCH(Calculations!$A4,Parameters!$A$2:$A$17,0),MONTH(Calculations!AE$3)),1/12))</f>
        <v>9</v>
      </c>
      <c r="AF4" s="60">
        <f>IF($A4=0,1/12,IFERROR(INDEX(Parameters!$X$2:$AI$17,MATCH(Calculations!$A4,Parameters!$A$2:$A$17,0),MONTH(Calculations!AF$3)),1/12))</f>
        <v>10</v>
      </c>
      <c r="AG4" s="60">
        <f>IF($A4=0,1/12,IFERROR(INDEX(Parameters!$X$2:$AI$17,MATCH(Calculations!$A4,Parameters!$A$2:$A$17,0),MONTH(Calculations!AG$3)),1/12))</f>
        <v>11</v>
      </c>
      <c r="AH4" s="60">
        <f>IF($A4=0,1/12,IFERROR(INDEX(Parameters!$X$2:$AI$17,MATCH(Calculations!$A4,Parameters!$A$2:$A$17,0),MONTH(Calculations!AH$3)),1/12))</f>
        <v>12</v>
      </c>
      <c r="AI4" s="60">
        <f>IF($A4=0,1/12,IFERROR(INDEX(Parameters!$X$2:$AI$17,MATCH(Calculations!$A4,Parameters!$A$2:$A$17,0),MONTH(Calculations!AI$3)),1/12))</f>
        <v>1</v>
      </c>
      <c r="AJ4" s="60">
        <f>IF($A4=0,1/12,IFERROR(INDEX(Parameters!$X$2:$AI$17,MATCH(Calculations!$A4,Parameters!$A$2:$A$17,0),MONTH(Calculations!AJ$3)),1/12))</f>
        <v>2</v>
      </c>
      <c r="AK4" s="60">
        <f>IF($A4=0,1/12,IFERROR(INDEX(Parameters!$X$2:$AI$17,MATCH(Calculations!$A4,Parameters!$A$2:$A$17,0),MONTH(Calculations!AK$3)),1/12))</f>
        <v>3</v>
      </c>
      <c r="AL4" s="60">
        <f>IF($A4=0,1/12,IFERROR(INDEX(Parameters!$X$2:$AI$17,MATCH(Calculations!$A4,Parameters!$A$2:$A$17,0),MONTH(Calculations!AL$3)),1/12))</f>
        <v>4</v>
      </c>
      <c r="AM4" s="60">
        <f>IF($A4=0,1/12,IFERROR(INDEX(Parameters!$X$2:$AI$17,MATCH(Calculations!$A4,Parameters!$A$2:$A$17,0),MONTH(Calculations!AM$3)),1/12))</f>
        <v>5</v>
      </c>
      <c r="AN4" s="60">
        <f>IF($A4=0,1/12,IFERROR(INDEX(Parameters!$X$2:$AI$17,MATCH(Calculations!$A4,Parameters!$A$2:$A$17,0),MONTH(Calculations!AN$3)),1/12))</f>
        <v>6</v>
      </c>
      <c r="AO4" s="60">
        <f>IF($A4=0,1/12,IFERROR(INDEX(Parameters!$X$2:$AI$17,MATCH(Calculations!$A4,Parameters!$A$2:$A$17,0),MONTH(Calculations!AO$3)),1/12))</f>
        <v>7</v>
      </c>
      <c r="AP4" s="60">
        <f>IF($A4=0,1/12,IFERROR(INDEX(Parameters!$X$2:$AI$17,MATCH(Calculations!$A4,Parameters!$A$2:$A$17,0),MONTH(Calculations!AP$3)),1/12))</f>
        <v>8</v>
      </c>
      <c r="AQ4" s="60">
        <f>IF($A4=0,1/12,IFERROR(INDEX(Parameters!$X$2:$AI$17,MATCH(Calculations!$A4,Parameters!$A$2:$A$17,0),MONTH(Calculations!AQ$3)),1/12))</f>
        <v>9</v>
      </c>
      <c r="AR4" s="60">
        <f>IF($A4=0,1/12,IFERROR(INDEX(Parameters!$X$2:$AI$17,MATCH(Calculations!$A4,Parameters!$A$2:$A$17,0),MONTH(Calculations!AR$3)),1/12))</f>
        <v>10</v>
      </c>
      <c r="AS4" s="60">
        <f>IF($A4=0,1/12,IFERROR(INDEX(Parameters!$X$2:$AI$17,MATCH(Calculations!$A4,Parameters!$A$2:$A$17,0),MONTH(Calculations!AS$3)),1/12))</f>
        <v>11</v>
      </c>
      <c r="AT4" s="60">
        <f>IF($A4=0,1/12,IFERROR(INDEX(Parameters!$X$2:$AI$17,MATCH(Calculations!$A4,Parameters!$A$2:$A$17,0),MONTH(Calculations!AT$3)),1/12))</f>
        <v>12</v>
      </c>
      <c r="AU4" s="60">
        <f>IF($A4=0,1/12,IFERROR(INDEX(Parameters!$X$2:$AI$17,MATCH(Calculations!$A4,Parameters!$A$2:$A$17,0),MONTH(Calculations!AU$3)),1/12))</f>
        <v>1</v>
      </c>
      <c r="AV4" s="60">
        <f>IF($A4=0,1/12,IFERROR(INDEX(Parameters!$X$2:$AI$17,MATCH(Calculations!$A4,Parameters!$A$2:$A$17,0),MONTH(Calculations!AV$3)),1/12))</f>
        <v>2</v>
      </c>
      <c r="AW4" s="60">
        <f>IF($A4=0,1/12,IFERROR(INDEX(Parameters!$X$2:$AI$17,MATCH(Calculations!$A4,Parameters!$A$2:$A$17,0),MONTH(Calculations!AW$3)),1/12))</f>
        <v>3</v>
      </c>
      <c r="AX4" s="60">
        <f>IF($A4=0,1/12,IFERROR(INDEX(Parameters!$X$2:$AI$17,MATCH(Calculations!$A4,Parameters!$A$2:$A$17,0),MONTH(Calculations!AX$3)),1/12))</f>
        <v>4</v>
      </c>
      <c r="AY4" s="60">
        <f>IF($A4=0,1/12,IFERROR(INDEX(Parameters!$X$2:$AI$17,MATCH(Calculations!$A4,Parameters!$A$2:$A$17,0),MONTH(Calculations!AY$3)),1/12))</f>
        <v>5</v>
      </c>
      <c r="AZ4" s="60">
        <f>IF($A4=0,1/12,IFERROR(INDEX(Parameters!$X$2:$AI$17,MATCH(Calculations!$A4,Parameters!$A$2:$A$17,0),MONTH(Calculations!AZ$3)),1/12))</f>
        <v>6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7</v>
      </c>
      <c r="AD5" s="22">
        <f>IF($A5=0,1/12,IFERROR(INDEX(Parameters!$X$2:$AI$17,MATCH(Calculations!$A5,Parameters!$A$2:$A$17,0),MONTH(Calculations!AD$3)),1/12))</f>
        <v>8</v>
      </c>
      <c r="AE5" s="22">
        <f>IF($A5=0,1/12,IFERROR(INDEX(Parameters!$X$2:$AI$17,MATCH(Calculations!$A5,Parameters!$A$2:$A$17,0),MONTH(Calculations!AE$3)),1/12))</f>
        <v>9</v>
      </c>
      <c r="AF5" s="22">
        <f>IF($A5=0,1/12,IFERROR(INDEX(Parameters!$X$2:$AI$17,MATCH(Calculations!$A5,Parameters!$A$2:$A$17,0),MONTH(Calculations!AF$3)),1/12))</f>
        <v>10</v>
      </c>
      <c r="AG5" s="22">
        <f>IF($A5=0,1/12,IFERROR(INDEX(Parameters!$X$2:$AI$17,MATCH(Calculations!$A5,Parameters!$A$2:$A$17,0),MONTH(Calculations!AG$3)),1/12))</f>
        <v>11</v>
      </c>
      <c r="AH5" s="22">
        <f>IF($A5=0,1/12,IFERROR(INDEX(Parameters!$X$2:$AI$17,MATCH(Calculations!$A5,Parameters!$A$2:$A$17,0),MONTH(Calculations!AH$3)),1/12))</f>
        <v>12</v>
      </c>
      <c r="AI5" s="22">
        <f>IF($A5=0,1/12,IFERROR(INDEX(Parameters!$X$2:$AI$17,MATCH(Calculations!$A5,Parameters!$A$2:$A$17,0),MONTH(Calculations!AI$3)),1/12))</f>
        <v>1</v>
      </c>
      <c r="AJ5" s="22">
        <f>IF($A5=0,1/12,IFERROR(INDEX(Parameters!$X$2:$AI$17,MATCH(Calculations!$A5,Parameters!$A$2:$A$17,0),MONTH(Calculations!AJ$3)),1/12))</f>
        <v>2</v>
      </c>
      <c r="AK5" s="22">
        <f>IF($A5=0,1/12,IFERROR(INDEX(Parameters!$X$2:$AI$17,MATCH(Calculations!$A5,Parameters!$A$2:$A$17,0),MONTH(Calculations!AK$3)),1/12))</f>
        <v>3</v>
      </c>
      <c r="AL5" s="22">
        <f>IF($A5=0,1/12,IFERROR(INDEX(Parameters!$X$2:$AI$17,MATCH(Calculations!$A5,Parameters!$A$2:$A$17,0),MONTH(Calculations!AL$3)),1/12))</f>
        <v>4</v>
      </c>
      <c r="AM5" s="22">
        <f>IF($A5=0,1/12,IFERROR(INDEX(Parameters!$X$2:$AI$17,MATCH(Calculations!$A5,Parameters!$A$2:$A$17,0),MONTH(Calculations!AM$3)),1/12))</f>
        <v>5</v>
      </c>
      <c r="AN5" s="22">
        <f>IF($A5=0,1/12,IFERROR(INDEX(Parameters!$X$2:$AI$17,MATCH(Calculations!$A5,Parameters!$A$2:$A$17,0),MONTH(Calculations!AN$3)),1/12))</f>
        <v>6</v>
      </c>
      <c r="AO5" s="22">
        <f>IF($A5=0,1/12,IFERROR(INDEX(Parameters!$X$2:$AI$17,MATCH(Calculations!$A5,Parameters!$A$2:$A$17,0),MONTH(Calculations!AO$3)),1/12))</f>
        <v>7</v>
      </c>
      <c r="AP5" s="22">
        <f>IF($A5=0,1/12,IFERROR(INDEX(Parameters!$X$2:$AI$17,MATCH(Calculations!$A5,Parameters!$A$2:$A$17,0),MONTH(Calculations!AP$3)),1/12))</f>
        <v>8</v>
      </c>
      <c r="AQ5" s="22">
        <f>IF($A5=0,1/12,IFERROR(INDEX(Parameters!$X$2:$AI$17,MATCH(Calculations!$A5,Parameters!$A$2:$A$17,0),MONTH(Calculations!AQ$3)),1/12))</f>
        <v>9</v>
      </c>
      <c r="AR5" s="22">
        <f>IF($A5=0,1/12,IFERROR(INDEX(Parameters!$X$2:$AI$17,MATCH(Calculations!$A5,Parameters!$A$2:$A$17,0),MONTH(Calculations!AR$3)),1/12))</f>
        <v>10</v>
      </c>
      <c r="AS5" s="22">
        <f>IF($A5=0,1/12,IFERROR(INDEX(Parameters!$X$2:$AI$17,MATCH(Calculations!$A5,Parameters!$A$2:$A$17,0),MONTH(Calculations!AS$3)),1/12))</f>
        <v>11</v>
      </c>
      <c r="AT5" s="22">
        <f>IF($A5=0,1/12,IFERROR(INDEX(Parameters!$X$2:$AI$17,MATCH(Calculations!$A5,Parameters!$A$2:$A$17,0),MONTH(Calculations!AT$3)),1/12))</f>
        <v>12</v>
      </c>
      <c r="AU5" s="22">
        <f>IF($A5=0,1/12,IFERROR(INDEX(Parameters!$X$2:$AI$17,MATCH(Calculations!$A5,Parameters!$A$2:$A$17,0),MONTH(Calculations!AU$3)),1/12))</f>
        <v>1</v>
      </c>
      <c r="AV5" s="22">
        <f>IF($A5=0,1/12,IFERROR(INDEX(Parameters!$X$2:$AI$17,MATCH(Calculations!$A5,Parameters!$A$2:$A$17,0),MONTH(Calculations!AV$3)),1/12))</f>
        <v>2</v>
      </c>
      <c r="AW5" s="22">
        <f>IF($A5=0,1/12,IFERROR(INDEX(Parameters!$X$2:$AI$17,MATCH(Calculations!$A5,Parameters!$A$2:$A$17,0),MONTH(Calculations!AW$3)),1/12))</f>
        <v>3</v>
      </c>
      <c r="AX5" s="22">
        <f>IF($A5=0,1/12,IFERROR(INDEX(Parameters!$X$2:$AI$17,MATCH(Calculations!$A5,Parameters!$A$2:$A$17,0),MONTH(Calculations!AX$3)),1/12))</f>
        <v>4</v>
      </c>
      <c r="AY5" s="22">
        <f>IF($A5=0,1/12,IFERROR(INDEX(Parameters!$X$2:$AI$17,MATCH(Calculations!$A5,Parameters!$A$2:$A$17,0),MONTH(Calculations!AY$3)),1/12))</f>
        <v>5</v>
      </c>
      <c r="AZ5" s="22">
        <f>IF($A5=0,1/12,IFERROR(INDEX(Parameters!$X$2:$AI$17,MATCH(Calculations!$A5,Parameters!$A$2:$A$17,0),MONTH(Calculations!AZ$3)),1/12))</f>
        <v>6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220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554400</v>
      </c>
      <c r="Q14" s="63">
        <f>IFERROR(D14*INDEX(Parameters!$A$22:$P$29,MATCH(Calculations!$A14,Parameters!$A$22:$A$29,0),MATCH(Parameters!$L$22,Parameters!$A$22:$P$22,0))*IF(Inputs!I19="Always",1,IF(Inputs!I19="Sometimes",0.5,0))*365,"")</f>
        <v>40150</v>
      </c>
      <c r="R14" s="63">
        <f>IFERROR(D14*INDEX(Parameters!$A$22:$P$29,MATCH(Calculations!$A14,Parameters!$A$22:$A$29,0),MATCH(Parameters!$M$22,Parameters!$A$22:$P$22,0)),"")</f>
        <v>10560</v>
      </c>
      <c r="S14" s="63">
        <f>IFERROR(D14*INDEX(Parameters!$A$22:$P$29,MATCH(Calculations!$A14,Parameters!$A$22:$A$29,0),MATCH(Parameters!$N$22,Parameters!$A$22:$P$22,0)),"")</f>
        <v>8800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80000</v>
      </c>
      <c r="B23" s="75">
        <f>SUM(C23:D23)</f>
        <v>7341.666666666667</v>
      </c>
      <c r="C23" s="75">
        <f>IF(Inputs!B56&gt;0,(Inputs!A56-Inputs!B56)/(DATE(YEAR(Inputs!$B$76),MONTH(Inputs!$B$76),DAY(Inputs!$B$76))-DATE(YEAR(Inputs!C56),MONTH(Inputs!C56),DAY(Inputs!C56)))*30,0)</f>
        <v>5875</v>
      </c>
      <c r="D23" s="75">
        <f>IF(Inputs!B56&gt;0,Inputs!A56*0.22/12,0)</f>
        <v>1466.666666666667</v>
      </c>
      <c r="E23" s="75">
        <f>IFERROR(ROUNDUP(Inputs!B56/C23,0),0)</f>
        <v>6</v>
      </c>
    </row>
    <row r="24" spans="1:52">
      <c r="A24" s="46">
        <f>Inputs!A57</f>
        <v>13600</v>
      </c>
      <c r="B24" s="46">
        <f>SUM(C24:D24)</f>
        <v>249.3333333333333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249.3333333333333</v>
      </c>
      <c r="E24" s="46">
        <f>IFERROR(ROUNDUP(Inputs!B57/B24,0),0)</f>
        <v>55</v>
      </c>
      <c r="H24" s="1"/>
    </row>
    <row r="25" spans="1:52">
      <c r="A25" s="46">
        <f>Inputs!A58</f>
        <v>20000</v>
      </c>
      <c r="B25" s="46">
        <f>SUM(C25:D25)</f>
        <v>4504.597701149426</v>
      </c>
      <c r="C25" s="46">
        <f>IF(Inputs!B58&gt;0,(Inputs!A58-Inputs!B58)/(DATE(YEAR(Inputs!$B$76),MONTH(Inputs!$B$76),DAY(Inputs!$B$76))-DATE(YEAR(Inputs!C58),MONTH(Inputs!C58),DAY(Inputs!C58)))*30,0)</f>
        <v>4137.931034482759</v>
      </c>
      <c r="D25" s="46">
        <f>IF(Inputs!B58&gt;0,Inputs!A58*0.22/12,0)</f>
        <v>366.6666666666667</v>
      </c>
      <c r="E25" s="46">
        <f>IFERROR(ROUNDUP(Inputs!B58/B25,0),0)</f>
        <v>3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Rongai</v>
      </c>
    </row>
    <row r="33" spans="1:52">
      <c r="A33">
        <v>1</v>
      </c>
      <c r="B33" s="128">
        <f>G34</f>
        <v>42974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42948</v>
      </c>
      <c r="F33" t="s">
        <v>161</v>
      </c>
      <c r="G33" s="128">
        <f>IF(Inputs!B79="","",DATE(YEAR(Inputs!B79),MONTH(Inputs!B79),DAY(Inputs!B79)))</f>
        <v>42943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43005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42979</v>
      </c>
      <c r="F34" t="s">
        <v>162</v>
      </c>
      <c r="G34" s="128">
        <f>IF(Inputs!B80="","",DATE(YEAR(Inputs!B80),MONTH(Inputs!B80),DAY(Inputs!B80)))</f>
        <v>42974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43035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43009</v>
      </c>
      <c r="F35" t="s">
        <v>164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43066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43040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43096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43070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43127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43101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43158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43132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43186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43160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43217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43191</v>
      </c>
      <c r="F41" t="s">
        <v>228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43247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43221</v>
      </c>
      <c r="F42" t="s">
        <v>229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43278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43308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202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102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90</v>
      </c>
      <c r="B41" s="191" t="s">
        <v>124</v>
      </c>
      <c r="C41" s="191" t="s">
        <v>103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102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316</v>
      </c>
      <c r="H52" s="12" t="s">
        <v>317</v>
      </c>
      <c r="I52" s="12" t="s">
        <v>122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230</v>
      </c>
      <c r="E53" s="10" t="s">
        <v>189</v>
      </c>
      <c r="F53" s="10" t="s">
        <v>249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124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124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124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124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124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124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124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167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226</v>
      </c>
      <c r="J76" s="11" t="s">
        <v>350</v>
      </c>
      <c r="K76" s="11" t="s">
        <v>179</v>
      </c>
      <c r="AJ76" s="12"/>
    </row>
    <row r="77" spans="1:36">
      <c r="A77" t="s">
        <v>103</v>
      </c>
      <c r="B77" s="176">
        <v>0</v>
      </c>
      <c r="C77" s="12" t="s">
        <v>351</v>
      </c>
      <c r="E77" s="12" t="s">
        <v>124</v>
      </c>
      <c r="F77" s="12" t="s">
        <v>124</v>
      </c>
      <c r="G77" s="12" t="s">
        <v>352</v>
      </c>
      <c r="H77" s="12" t="s">
        <v>317</v>
      </c>
      <c r="I77" s="12" t="s">
        <v>353</v>
      </c>
      <c r="J77" s="136" t="s">
        <v>354</v>
      </c>
      <c r="K77" s="12" t="s">
        <v>124</v>
      </c>
      <c r="AJ77" s="12"/>
    </row>
    <row r="78" spans="1:36">
      <c r="A78" t="s">
        <v>124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104</v>
      </c>
      <c r="H78" s="12" t="s">
        <v>122</v>
      </c>
      <c r="I78" s="12" t="s">
        <v>358</v>
      </c>
      <c r="J78" s="70" t="s">
        <v>359</v>
      </c>
      <c r="K78" s="12" t="s">
        <v>124</v>
      </c>
      <c r="AJ78" s="12"/>
    </row>
    <row r="79" spans="1:36">
      <c r="B79" s="176">
        <v>10</v>
      </c>
      <c r="C79" s="12" t="s">
        <v>360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167</v>
      </c>
      <c r="J79" s="70" t="s">
        <v>364</v>
      </c>
      <c r="K79" s="12" t="s">
        <v>124</v>
      </c>
      <c r="AJ79" s="12"/>
    </row>
    <row r="80" spans="1:36">
      <c r="B80" s="176">
        <v>20</v>
      </c>
      <c r="C80" s="12" t="s">
        <v>155</v>
      </c>
      <c r="D80" s="12">
        <f>D79+1</f>
        <v>2</v>
      </c>
      <c r="E80" s="12" t="s">
        <v>365</v>
      </c>
      <c r="F80" s="12" t="s">
        <v>366</v>
      </c>
      <c r="J80" s="70" t="s">
        <v>367</v>
      </c>
      <c r="K80" s="12" t="s">
        <v>103</v>
      </c>
      <c r="AJ80" s="12"/>
    </row>
    <row r="81" spans="1:36">
      <c r="B81" s="176">
        <v>30</v>
      </c>
      <c r="C81" s="12" t="s">
        <v>154</v>
      </c>
      <c r="D81" s="12">
        <f>D80+1</f>
        <v>3</v>
      </c>
      <c r="J81" s="70" t="s">
        <v>368</v>
      </c>
      <c r="K81" s="12" t="s">
        <v>103</v>
      </c>
    </row>
    <row r="82" spans="1:36">
      <c r="B82" s="176">
        <v>40</v>
      </c>
      <c r="C82" s="12" t="s">
        <v>153</v>
      </c>
      <c r="D82" s="12">
        <f>D81+1</f>
        <v>4</v>
      </c>
      <c r="J82" s="70"/>
    </row>
    <row r="83" spans="1:36">
      <c r="B83" s="176">
        <v>50</v>
      </c>
      <c r="C83" s="12" t="s">
        <v>152</v>
      </c>
      <c r="D83" s="12">
        <f>D82+1</f>
        <v>5</v>
      </c>
    </row>
    <row r="84" spans="1:36">
      <c r="B84" s="176">
        <v>60</v>
      </c>
      <c r="C84" s="12" t="s">
        <v>151</v>
      </c>
      <c r="D84" s="12">
        <f>D83+1</f>
        <v>6</v>
      </c>
    </row>
    <row r="85" spans="1:36">
      <c r="B85" s="176">
        <v>70</v>
      </c>
      <c r="C85" s="12" t="s">
        <v>150</v>
      </c>
      <c r="D85" s="12">
        <f>D84+1</f>
        <v>7</v>
      </c>
    </row>
    <row r="86" spans="1:36">
      <c r="B86" s="176">
        <v>80</v>
      </c>
      <c r="C86" s="12" t="s">
        <v>369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371</v>
      </c>
      <c r="D88" s="12">
        <f>D87+1</f>
        <v>10</v>
      </c>
    </row>
    <row r="89" spans="1:36">
      <c r="C89" s="12" t="s">
        <v>372</v>
      </c>
      <c r="D89" s="12">
        <f>D88+1</f>
        <v>11</v>
      </c>
    </row>
    <row r="90" spans="1:36">
      <c r="C90" s="12" t="s">
        <v>373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