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<sst xmlns="http://schemas.openxmlformats.org/spreadsheetml/2006/main" uniqueCount="373">
  <si>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</si>
  <si>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</si>
  <si>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</si>
  <si>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</si>
  <si>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</si>
  <si>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</si>
  <si>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</si>
  <si>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</si>
  <si>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</si>
  <si>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</si>
  <si>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</si>
  <si>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</si>
  <si>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</si>
  <si>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</si>
  <si>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</si>
  <si>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</si>
  <si>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</si>
  <si>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</si>
  <si>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</si>
  <si>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</si>
  <si>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</si>
  <si>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</si>
  <si>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</si>
  <si>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</si>
  <si>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</si>
  <si>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</si>
  <si>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</si>
  <si>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</si>
  <si>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</si>
  <si>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</si>
  <si>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</si>
  <si>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</si>
  <si>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</si>
  <si>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</si>
  <si>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</si>
  <si>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</si>
  <si>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</si>
  <si>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</si>
  <si>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</si>
  <si>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</si>
  <si>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</si>
  <si>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</si>
  <si>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</si>
  <si>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</si>
  <si>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</si>
  <si>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</si>
  <si>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</si>
  <si>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</si>
  <si>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</si>
  <si>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</si>
  <si>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</si>
  <si>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</si>
  <si>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</si>
  <si>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</si>
  <si>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</si>
  <si>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</si>
  <si>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</si>
  <si>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</si>
  <si>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</si>
  <si>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</si>
  <si>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</si>
  <si>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</si>
  <si>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</si>
  <si>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</si>
  <si>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</si>
  <si>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</si>
  <si>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</si>
  <si>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</si>
  <si>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</si>
  <si>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</si>
  <si>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</si>
  <si>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</si>
  <si>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</si>
  <si>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</si>
  <si>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</si>
  <si>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</si>
  <si>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</si>
  <si>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</si>
  <si>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</si>
  <si>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</si>
  <si>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</si>
  <si>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</si>
  <si>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</si>
  <si>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</si>
  <si>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</si>
  <si>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</si>
  <si>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</si>
  <si>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</si>
  <si>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</si>
  <si>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</si>
  <si>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</si>
  <si>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</si>
  <si>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</si>
  <si>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</si>
  <si>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October</t>
  </si>
  <si>
    <t>Beans</t>
  </si>
  <si>
    <t>September</t>
  </si>
  <si>
    <t>Bananas</t>
  </si>
  <si>
    <t>Other crops</t>
  </si>
  <si>
    <t>Butter nuts</t>
  </si>
  <si>
    <t>August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</si>
  <si>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</si>
  <si>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</si>
  <si>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</si>
  <si>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</si>
  <si>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</si>
  <si>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</si>
  <si>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</si>
  <si>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</si>
  <si>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</si>
  <si>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</si>
  <si>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</si>
  <si>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</si>
  <si>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</si>
  <si>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</si>
  <si>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</si>
  <si>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</si>
  <si>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</si>
  <si>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</si>
  <si>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</si>
  <si>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</si>
  <si>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</si>
  <si>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Executive Director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</si>
  <si>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</si>
  <si>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</si>
  <si>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</si>
  <si>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</si>
  <si>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</si>
  <si>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</si>
  <si>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</si>
  <si>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</si>
  <si>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</si>
  <si>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</si>
  <si>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</si>
  <si>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</si>
  <si>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</si>
  <si>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</si>
  <si>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</si>
  <si>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</si>
  <si>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</si>
  <si>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</si>
  <si>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</si>
  <si>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</si>
  <si>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</si>
  <si>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</si>
  <si>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</si>
  <si>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</si>
  <si>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</si>
  <si>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</si>
  <si>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</si>
  <si>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11/23/15</t>
  </si>
  <si>
    <t>Sacco</t>
  </si>
  <si>
    <t>Check off</t>
  </si>
  <si>
    <t>6/26/17</t>
  </si>
  <si>
    <t>M/Banking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</si>
  <si>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</si>
  <si>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</si>
  <si>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</si>
  <si>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</si>
  <si>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</si>
  <si>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</si>
  <si>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</si>
  <si>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</si>
  <si>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</si>
  <si>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</si>
  <si>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</si>
  <si>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</si>
  <si>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</si>
  <si>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2017/7/27</t>
  </si>
  <si>
    <t>Loan terms</t>
  </si>
  <si>
    <t>Expected disbursement date</t>
  </si>
  <si>
    <t>2017/8/3</t>
  </si>
  <si>
    <t>Expected first repayment date</t>
  </si>
  <si>
    <t>2017/9/11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</si>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</sst>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Bananas, Butter nuts, Tomatoes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, Goat</v>
      </c>
    </row>
    <row r="8" spans="1:7">
      <c r="B8" s="1" t="s">
        <v>4</v>
      </c>
      <c r="C8" t="str">
        <f>IF(Inputs!B29="","None",Inputs!B29)</f>
        <v>Executive Director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0.6614196899138527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0.2360606461864407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133333.3333333333</v>
      </c>
    </row>
    <row r="17" spans="1:7">
      <c r="B17" s="1" t="s">
        <v>11</v>
      </c>
      <c r="C17" s="36">
        <f>SUM(Output!B6:M6)</f>
        <v>717452.3816454484</v>
      </c>
    </row>
    <row r="18" spans="1:7">
      <c r="B18" s="1" t="s">
        <v>12</v>
      </c>
      <c r="C18" s="36">
        <f>MIN(Output!B6:M6)</f>
        <v>22563.92185303065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121019.3549581837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1265586.5</v>
      </c>
    </row>
    <row r="25" spans="1:7">
      <c r="B25" s="1" t="s">
        <v>18</v>
      </c>
      <c r="C25" s="36">
        <f>MAX(Inputs!A56:A60)</f>
        <v>2500000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43293.27243055515</v>
      </c>
      <c r="C6" s="51">
        <f>C30-C88</f>
        <v>35163.23976974031</v>
      </c>
      <c r="D6" s="51">
        <f>D30-D88</f>
        <v>22563.92185303065</v>
      </c>
      <c r="E6" s="51">
        <f>E30-E88</f>
        <v>24563.92185303065</v>
      </c>
      <c r="F6" s="51">
        <f>F30-F88</f>
        <v>110122.4799581837</v>
      </c>
      <c r="G6" s="51">
        <f>G30-G88</f>
        <v>121019.3549581837</v>
      </c>
      <c r="H6" s="51">
        <f>H30-H88</f>
        <v>43293.27243055515</v>
      </c>
      <c r="I6" s="51">
        <f>I30-I88</f>
        <v>37163.23976974031</v>
      </c>
      <c r="J6" s="51">
        <f>J30-J88</f>
        <v>24563.92185303065</v>
      </c>
      <c r="K6" s="51">
        <f>K30-K88</f>
        <v>24563.92185303065</v>
      </c>
      <c r="L6" s="51">
        <f>L30-L88</f>
        <v>110122.4799581837</v>
      </c>
      <c r="M6" s="51">
        <f>M30-M88</f>
        <v>121019.3549581837</v>
      </c>
      <c r="N6" s="51">
        <f>N30-N88</f>
        <v>43293.27243055515</v>
      </c>
      <c r="O6" s="51">
        <f>O30-O88</f>
        <v>35163.23976974031</v>
      </c>
      <c r="P6" s="51">
        <f>P30-P88</f>
        <v>22563.92185303065</v>
      </c>
      <c r="Q6" s="51">
        <f>Q30-Q88</f>
        <v>24563.92185303065</v>
      </c>
      <c r="R6" s="51">
        <f>R30-R88</f>
        <v>110122.4799581837</v>
      </c>
      <c r="S6" s="51">
        <f>S30-S88</f>
        <v>121019.3549581837</v>
      </c>
      <c r="T6" s="51">
        <f>T30-T88</f>
        <v>43293.27243055515</v>
      </c>
      <c r="U6" s="51">
        <f>U30-U88</f>
        <v>37163.23976974031</v>
      </c>
      <c r="V6" s="51">
        <f>V30-V88</f>
        <v>24563.92185303065</v>
      </c>
      <c r="W6" s="51">
        <f>W30-W88</f>
        <v>24563.92185303065</v>
      </c>
      <c r="X6" s="51">
        <f>X30-X88</f>
        <v>110122.4799581837</v>
      </c>
      <c r="Y6" s="51">
        <f>Y30-Y88</f>
        <v>121019.3549581837</v>
      </c>
      <c r="Z6" s="51">
        <f>SUMIF($B$13:$Y$13,"Yes",B6:Y6)</f>
        <v>1434904.763290897</v>
      </c>
      <c r="AA6" s="51">
        <f>AA30-AA88</f>
        <v>717452.3816454479</v>
      </c>
      <c r="AB6" s="51">
        <f>AB30-AB88</f>
        <v>1434904.763290897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75332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113348</v>
      </c>
      <c r="J7" s="80">
        <f>IF(ISERROR(VLOOKUP(MONTH(J5),Inputs!$D$66:$D$71,1,0)),"",INDEX(Inputs!$B$66:$B$71,MATCH(MONTH(Output!J5),Inputs!$D$66:$D$71,0))-INDEX(Inputs!$C$66:$C$71,MATCH(MONTH(Output!J5),Inputs!$D$66:$D$71,0)))</f>
        <v>89542</v>
      </c>
      <c r="K7" s="80">
        <f>IF(ISERROR(VLOOKUP(MONTH(K5),Inputs!$D$66:$D$71,1,0)),"",INDEX(Inputs!$B$66:$B$71,MATCH(MONTH(Output!K5),Inputs!$D$66:$D$71,0))-INDEX(Inputs!$C$66:$C$71,MATCH(MONTH(Output!K5),Inputs!$D$66:$D$71,0)))</f>
        <v>193286</v>
      </c>
      <c r="L7" s="80">
        <f>IF(ISERROR(VLOOKUP(MONTH(L5),Inputs!$D$66:$D$71,1,0)),"",INDEX(Inputs!$B$66:$B$71,MATCH(MONTH(Output!L5),Inputs!$D$66:$D$71,0))-INDEX(Inputs!$C$66:$C$71,MATCH(MONTH(Output!L5),Inputs!$D$66:$D$71,0)))</f>
        <v>120027</v>
      </c>
      <c r="M7" s="80">
        <f>IF(ISERROR(VLOOKUP(MONTH(M5),Inputs!$D$66:$D$71,1,0)),"",INDEX(Inputs!$B$66:$B$71,MATCH(MONTH(Output!M5),Inputs!$D$66:$D$71,0))-INDEX(Inputs!$C$66:$C$71,MATCH(MONTH(Output!M5),Inputs!$D$66:$D$71,0)))</f>
        <v>124477</v>
      </c>
      <c r="N7" s="80">
        <f>IF(ISERROR(VLOOKUP(MONTH(N5),Inputs!$D$66:$D$71,1,0)),"",INDEX(Inputs!$B$66:$B$71,MATCH(MONTH(Output!N5),Inputs!$D$66:$D$71,0))-INDEX(Inputs!$C$66:$C$71,MATCH(MONTH(Output!N5),Inputs!$D$66:$D$71,0)))</f>
        <v>75332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113348</v>
      </c>
      <c r="V7" s="80">
        <f>IF(ISERROR(VLOOKUP(MONTH(V5),Inputs!$D$66:$D$71,1,0)),"",INDEX(Inputs!$B$66:$B$71,MATCH(MONTH(Output!V5),Inputs!$D$66:$D$71,0))-INDEX(Inputs!$C$66:$C$71,MATCH(MONTH(Output!V5),Inputs!$D$66:$D$71,0)))</f>
        <v>89542</v>
      </c>
      <c r="W7" s="80">
        <f>IF(ISERROR(VLOOKUP(MONTH(W5),Inputs!$D$66:$D$71,1,0)),"",INDEX(Inputs!$B$66:$B$71,MATCH(MONTH(Output!W5),Inputs!$D$66:$D$71,0))-INDEX(Inputs!$C$66:$C$71,MATCH(MONTH(Output!W5),Inputs!$D$66:$D$71,0)))</f>
        <v>193286</v>
      </c>
      <c r="X7" s="80">
        <f>IF(ISERROR(VLOOKUP(MONTH(X5),Inputs!$D$66:$D$71,1,0)),"",INDEX(Inputs!$B$66:$B$71,MATCH(MONTH(Output!X5),Inputs!$D$66:$D$71,0))-INDEX(Inputs!$C$66:$C$71,MATCH(MONTH(Output!X5),Inputs!$D$66:$D$71,0)))</f>
        <v>120027</v>
      </c>
      <c r="Y7" s="80">
        <f>IF(ISERROR(VLOOKUP(MONTH(Y5),Inputs!$D$66:$D$71,1,0)),"",INDEX(Inputs!$B$66:$B$71,MATCH(MONTH(Output!Y5),Inputs!$D$66:$D$71,0))-INDEX(Inputs!$C$66:$C$71,MATCH(MONTH(Output!Y5),Inputs!$D$66:$D$71,0)))</f>
        <v>124477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3000000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133333.3333333333</v>
      </c>
      <c r="E10" s="37">
        <f>SUMPRODUCT((Calculations!$D$33:$D$84=Output!E5)+0,Calculations!$C$33:$C$84)</f>
        <v>133333.3333333333</v>
      </c>
      <c r="F10" s="37">
        <f>SUMPRODUCT((Calculations!$D$33:$D$84=Output!F5)+0,Calculations!$C$33:$C$84)</f>
        <v>133333.3333333333</v>
      </c>
      <c r="G10" s="37">
        <f>SUMPRODUCT((Calculations!$D$33:$D$84=Output!G5)+0,Calculations!$C$33:$C$84)</f>
        <v>133333.3333333333</v>
      </c>
      <c r="H10" s="37">
        <f>SUMPRODUCT((Calculations!$D$33:$D$84=Output!H5)+0,Calculations!$C$33:$C$84)</f>
        <v>133333.3333333333</v>
      </c>
      <c r="I10" s="37">
        <f>SUMPRODUCT((Calculations!$D$33:$D$84=Output!I5)+0,Calculations!$C$33:$C$84)</f>
        <v>133333.3333333333</v>
      </c>
      <c r="J10" s="37">
        <f>SUMPRODUCT((Calculations!$D$33:$D$84=Output!J5)+0,Calculations!$C$33:$C$84)</f>
        <v>133333.3333333333</v>
      </c>
      <c r="K10" s="37">
        <f>SUMPRODUCT((Calculations!$D$33:$D$84=Output!K5)+0,Calculations!$C$33:$C$84)</f>
        <v>133333.3333333333</v>
      </c>
      <c r="L10" s="37">
        <f>SUMPRODUCT((Calculations!$D$33:$D$84=Output!L5)+0,Calculations!$C$33:$C$84)</f>
        <v>133333.3333333333</v>
      </c>
      <c r="M10" s="37">
        <f>SUMPRODUCT((Calculations!$D$33:$D$84=Output!M5)+0,Calculations!$C$33:$C$84)</f>
        <v>133333.3333333333</v>
      </c>
      <c r="N10" s="37">
        <f>SUMPRODUCT((Calculations!$D$33:$D$84=Output!N5)+0,Calculations!$C$33:$C$84)</f>
        <v>133333.3333333333</v>
      </c>
      <c r="O10" s="37">
        <f>SUMPRODUCT((Calculations!$D$33:$D$84=Output!O5)+0,Calculations!$C$33:$C$84)</f>
        <v>133333.3333333333</v>
      </c>
      <c r="P10" s="37">
        <f>SUMPRODUCT((Calculations!$D$33:$D$84=Output!P5)+0,Calculations!$C$33:$C$84)</f>
        <v>133333.3333333333</v>
      </c>
      <c r="Q10" s="37">
        <f>SUMPRODUCT((Calculations!$D$33:$D$84=Output!Q5)+0,Calculations!$C$33:$C$84)</f>
        <v>133333.3333333333</v>
      </c>
      <c r="R10" s="37">
        <f>SUMPRODUCT((Calculations!$D$33:$D$84=Output!R5)+0,Calculations!$C$33:$C$84)</f>
        <v>133333.3333333333</v>
      </c>
      <c r="S10" s="37">
        <f>SUMPRODUCT((Calculations!$D$33:$D$84=Output!S5)+0,Calculations!$C$33:$C$84)</f>
        <v>133333.3333333333</v>
      </c>
      <c r="T10" s="37">
        <f>SUMPRODUCT((Calculations!$D$33:$D$84=Output!T5)+0,Calculations!$C$33:$C$84)</f>
        <v>133333.3333333333</v>
      </c>
      <c r="U10" s="37">
        <f>SUMPRODUCT((Calculations!$D$33:$D$84=Output!U5)+0,Calculations!$C$33:$C$84)</f>
        <v>133333.3333333333</v>
      </c>
      <c r="V10" s="37">
        <f>SUMPRODUCT((Calculations!$D$33:$D$84=Output!V5)+0,Calculations!$C$33:$C$84)</f>
        <v>133333.3333333333</v>
      </c>
      <c r="W10" s="37">
        <f>SUMPRODUCT((Calculations!$D$33:$D$84=Output!W5)+0,Calculations!$C$33:$C$84)</f>
        <v>133333.3333333333</v>
      </c>
      <c r="X10" s="37">
        <f>SUMPRODUCT((Calculations!$D$33:$D$84=Output!X5)+0,Calculations!$C$33:$C$84)</f>
        <v>133333.3333333333</v>
      </c>
      <c r="Y10" s="37">
        <f>SUMPRODUCT((Calculations!$D$33:$D$84=Output!Y5)+0,Calculations!$C$33:$C$84)</f>
        <v>133333.3333333333</v>
      </c>
      <c r="Z10" s="37">
        <f>SUMIF($B$13:$Y$13,"Yes",B10:Y10)</f>
        <v>2933333.333333333</v>
      </c>
      <c r="AA10" s="37">
        <f>SUM(B10:M10)</f>
        <v>1333333.333333333</v>
      </c>
      <c r="AB10" s="37">
        <f>SUM(B10:Y10)</f>
        <v>2933333.333333333</v>
      </c>
    </row>
    <row r="11" spans="1:30" customHeight="1" ht="15.75">
      <c r="A11" s="43" t="s">
        <v>31</v>
      </c>
      <c r="B11" s="80">
        <f>B6+B9-B10</f>
        <v>43293.27243055515</v>
      </c>
      <c r="C11" s="80">
        <f>C6+C9-C10</f>
        <v>3035163.23976974</v>
      </c>
      <c r="D11" s="80">
        <f>D6+D9-D10</f>
        <v>-110769.4114803027</v>
      </c>
      <c r="E11" s="80">
        <f>E6+E9-E10</f>
        <v>-108769.4114803027</v>
      </c>
      <c r="F11" s="80">
        <f>F6+F9-F10</f>
        <v>-23210.85337514961</v>
      </c>
      <c r="G11" s="80">
        <f>G6+G9-G10</f>
        <v>-12313.9783751496</v>
      </c>
      <c r="H11" s="80">
        <f>H6+H9-H10</f>
        <v>-90040.06090277816</v>
      </c>
      <c r="I11" s="80">
        <f>I6+I9-I10</f>
        <v>-96170.09356359301</v>
      </c>
      <c r="J11" s="80">
        <f>J6+J9-J10</f>
        <v>-108769.4114803027</v>
      </c>
      <c r="K11" s="80">
        <f>K6+K9-K10</f>
        <v>-108769.4114803027</v>
      </c>
      <c r="L11" s="80">
        <f>L6+L9-L10</f>
        <v>-23210.85337514961</v>
      </c>
      <c r="M11" s="80">
        <f>M6+M9-M10</f>
        <v>-12313.9783751496</v>
      </c>
      <c r="N11" s="80">
        <f>N6+N9-N10</f>
        <v>-90040.06090277816</v>
      </c>
      <c r="O11" s="80">
        <f>O6+O9-O10</f>
        <v>-98170.09356359301</v>
      </c>
      <c r="P11" s="80">
        <f>P6+P9-P10</f>
        <v>-110769.4114803027</v>
      </c>
      <c r="Q11" s="80">
        <f>Q6+Q9-Q10</f>
        <v>-108769.4114803027</v>
      </c>
      <c r="R11" s="80">
        <f>R6+R9-R10</f>
        <v>-23210.85337514961</v>
      </c>
      <c r="S11" s="80">
        <f>S6+S9-S10</f>
        <v>-12313.9783751496</v>
      </c>
      <c r="T11" s="80">
        <f>T6+T9-T10</f>
        <v>-90040.06090277816</v>
      </c>
      <c r="U11" s="80">
        <f>U6+U9-U10</f>
        <v>-96170.09356359301</v>
      </c>
      <c r="V11" s="80">
        <f>V6+V9-V10</f>
        <v>-108769.4114803027</v>
      </c>
      <c r="W11" s="80">
        <f>W6+W9-W10</f>
        <v>-108769.4114803027</v>
      </c>
      <c r="X11" s="80">
        <f>X6+X9-X10</f>
        <v>-23210.85337514961</v>
      </c>
      <c r="Y11" s="80">
        <f>Y6+Y9-Y10</f>
        <v>-12313.9783751496</v>
      </c>
      <c r="Z11" s="85">
        <f>SUMIF($B$13:$Y$13,"Yes",B11:Y11)</f>
        <v>1501571.429957565</v>
      </c>
      <c r="AA11" s="80">
        <f>SUM(B11:M11)</f>
        <v>2384119.048312117</v>
      </c>
      <c r="AB11" s="46">
        <f>SUM(B11:Y11)</f>
        <v>1501571.429957565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0.04299659939971891</v>
      </c>
      <c r="E12" s="82">
        <f>IF(E13="Yes",IF(SUM($B$10:E10)/(SUM($B$6:E6)+SUM($B$9:E9))&lt;0,999.99,SUM($B$10:E10)/(SUM($B$6:E6)+SUM($B$9:E9))),"")</f>
        <v>0.08531737950465224</v>
      </c>
      <c r="F12" s="82">
        <f>IF(F13="Yes",IF(SUM($B$10:F10)/(SUM($B$6:F6)+SUM($B$9:F9))&lt;0,999.99,SUM($B$10:F10)/(SUM($B$6:F6)+SUM($B$9:F9))),"")</f>
        <v>0.12362059367258</v>
      </c>
      <c r="G12" s="82">
        <f>IF(G13="Yes",IF(SUM($B$10:G10)/(SUM($B$6:G6)+SUM($B$9:G9))&lt;0,999.99,SUM($B$10:G10)/(SUM($B$6:G6)+SUM($B$9:G9))),"")</f>
        <v>0.1588849679760787</v>
      </c>
      <c r="H12" s="82">
        <f>IF(H13="Yes",IF(SUM($B$10:H10)/(SUM($B$6:H6)+SUM($B$9:H9))&lt;0,999.99,SUM($B$10:H10)/(SUM($B$6:H6)+SUM($B$9:H9))),"")</f>
        <v>0.1960773089306884</v>
      </c>
      <c r="I12" s="82">
        <f>IF(I13="Yes",IF(SUM($B$10:I10)/(SUM($B$6:I6)+SUM($B$9:I9))&lt;0,999.99,SUM($B$10:I10)/(SUM($B$6:I6)+SUM($B$9:I9))),"")</f>
        <v>0.2327487565023517</v>
      </c>
      <c r="J12" s="82">
        <f>IF(J13="Yes",IF(SUM($B$10:J10)/(SUM($B$6:J6)+SUM($B$9:J9))&lt;0,999.99,SUM($B$10:J10)/(SUM($B$6:J6)+SUM($B$9:J9))),"")</f>
        <v>0.2696134161369339</v>
      </c>
      <c r="K12" s="82">
        <f>IF(K13="Yes",IF(SUM($B$10:K10)/(SUM($B$6:K6)+SUM($B$9:K9))&lt;0,999.99,SUM($B$10:K10)/(SUM($B$6:K6)+SUM($B$9:K9))),"")</f>
        <v>0.3059585921476307</v>
      </c>
      <c r="L12" s="82">
        <f>IF(L13="Yes",IF(SUM($B$10:L10)/(SUM($B$6:L6)+SUM($B$9:L9))&lt;0,999.99,SUM($B$10:L10)/(SUM($B$6:L6)+SUM($B$9:L9))),"")</f>
        <v>0.3336639362099674</v>
      </c>
      <c r="M12" s="82">
        <f>IF(M13="Yes",IF(SUM($B$10:M10)/(SUM($B$6:M6)+SUM($B$9:M9))&lt;0,999.99,SUM($B$10:M10)/(SUM($B$6:M6)+SUM($B$9:M9))),"")</f>
        <v>0.3586685709591153</v>
      </c>
      <c r="N12" s="82">
        <f>IF(N13="Yes",IF(SUM($B$10:N10)/(SUM($B$6:N6)+SUM($B$9:N9))&lt;0,999.99,SUM($B$10:N10)/(SUM($B$6:N6)+SUM($B$9:N9))),"")</f>
        <v>0.3899935814795268</v>
      </c>
      <c r="O12" s="82">
        <f>IF(O13="Yes",IF(SUM($B$10:O10)/(SUM($B$6:O6)+SUM($B$9:O9))&lt;0,999.99,SUM($B$10:O10)/(SUM($B$6:O6)+SUM($B$9:O9))),"")</f>
        <v>0.4215064283007576</v>
      </c>
      <c r="P12" s="82">
        <f>IF(P13="Yes",IF(SUM($B$10:P10)/(SUM($B$6:P6)+SUM($B$9:P9))&lt;0,999.99,SUM($B$10:P10)/(SUM($B$6:P6)+SUM($B$9:P9))),"")</f>
        <v>0.4539336580339476</v>
      </c>
      <c r="Q12" s="82">
        <f>IF(Q13="Yes",IF(SUM($B$10:Q10)/(SUM($B$6:Q6)+SUM($B$9:Q9))&lt;0,999.99,SUM($B$10:Q10)/(SUM($B$6:Q6)+SUM($B$9:Q9))),"")</f>
        <v>0.4857269899157457</v>
      </c>
      <c r="R12" s="82">
        <f>IF(R13="Yes",IF(SUM($B$10:R10)/(SUM($B$6:R6)+SUM($B$9:R9))&lt;0,999.99,SUM($B$10:R10)/(SUM($B$6:R6)+SUM($B$9:R9))),"")</f>
        <v>0.505924474567396</v>
      </c>
      <c r="S12" s="82">
        <f>IF(S13="Yes",IF(SUM($B$10:S10)/(SUM($B$6:S6)+SUM($B$9:S9))&lt;0,999.99,SUM($B$10:S10)/(SUM($B$6:S6)+SUM($B$9:S9))),"")</f>
        <v>0.5236229329145337</v>
      </c>
      <c r="T12" s="82">
        <f>IF(T13="Yes",IF(SUM($B$10:T10)/(SUM($B$6:T6)+SUM($B$9:T9))&lt;0,999.99,SUM($B$10:T10)/(SUM($B$6:T6)+SUM($B$9:T9))),"")</f>
        <v>0.550499615310039</v>
      </c>
      <c r="U12" s="82">
        <f>IF(U13="Yes",IF(SUM($B$10:U10)/(SUM($B$6:U6)+SUM($B$9:U9))&lt;0,999.99,SUM($B$10:U10)/(SUM($B$6:U6)+SUM($B$9:U9))),"")</f>
        <v>0.5776680625589804</v>
      </c>
      <c r="V12" s="82">
        <f>IF(V13="Yes",IF(SUM($B$10:V10)/(SUM($B$6:V6)+SUM($B$9:V9))&lt;0,999.99,SUM($B$10:V10)/(SUM($B$6:V6)+SUM($B$9:V9))),"")</f>
        <v>0.6061767648250662</v>
      </c>
      <c r="W12" s="82">
        <f>IF(W13="Yes",IF(SUM($B$10:W10)/(SUM($B$6:W6)+SUM($B$9:W9))&lt;0,999.99,SUM($B$10:W10)/(SUM($B$6:W6)+SUM($B$9:W9))),"")</f>
        <v>0.634352296288456</v>
      </c>
      <c r="X12" s="82">
        <f>IF(X13="Yes",IF(SUM($B$10:X10)/(SUM($B$6:X6)+SUM($B$9:X9))&lt;0,999.99,SUM($B$10:X10)/(SUM($B$6:X6)+SUM($B$9:X9))),"")</f>
        <v>0.6490668469291077</v>
      </c>
      <c r="Y12" s="82">
        <f>IF(Y13="Yes",IF(SUM($B$10:Y10)/(SUM($B$6:Y6)+SUM($B$9:Y9))&lt;0,999.99,SUM($B$10:Y10)/(SUM($B$6:Y6)+SUM($B$9:Y9))),"")</f>
        <v>0.6614196899138527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6581.198106099688</v>
      </c>
      <c r="C19" s="36">
        <f>O19</f>
        <v>7239.317916709657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6581.198106099688</v>
      </c>
      <c r="I19" s="36">
        <f>U19</f>
        <v>7239.317916709657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6581.198106099688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7239.317916709657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6581.198106099688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7239.317916709657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55282.06409123738</v>
      </c>
      <c r="AA19" s="36">
        <f>SUM(B19:M19)</f>
        <v>27641.03204561869</v>
      </c>
      <c r="AB19" s="36">
        <f>SUM(B19:Y19)</f>
        <v>55282.06409123738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19118.75</v>
      </c>
      <c r="C20" s="36">
        <f>O20</f>
        <v>19118.75</v>
      </c>
      <c r="D20" s="36">
        <f>P20</f>
        <v>19118.75</v>
      </c>
      <c r="E20" s="36">
        <f>Q20</f>
        <v>19118.75</v>
      </c>
      <c r="F20" s="36">
        <f>R20</f>
        <v>19118.75</v>
      </c>
      <c r="G20" s="36">
        <f>S20</f>
        <v>19118.75</v>
      </c>
      <c r="H20" s="36">
        <f>T20</f>
        <v>19118.75</v>
      </c>
      <c r="I20" s="36">
        <f>U20</f>
        <v>19118.75</v>
      </c>
      <c r="J20" s="36">
        <f>V20</f>
        <v>19118.75</v>
      </c>
      <c r="K20" s="36">
        <f>W20</f>
        <v>19118.75</v>
      </c>
      <c r="L20" s="36">
        <f>X20</f>
        <v>19118.75</v>
      </c>
      <c r="M20" s="36">
        <f>Y20</f>
        <v>19118.75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19118.75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19118.75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19118.75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19118.75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19118.75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19118.75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19118.75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19118.75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19118.75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19118.75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19118.75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19118.75</v>
      </c>
      <c r="Z20" s="36">
        <f>SUMIF($B$13:$Y$13,"Yes",B20:Y20)</f>
        <v>458850</v>
      </c>
      <c r="AA20" s="36">
        <f>SUM(B20:M20)</f>
        <v>229425</v>
      </c>
      <c r="AB20" s="36">
        <f>SUM(B20:Y20)</f>
        <v>458850</v>
      </c>
    </row>
    <row r="21" spans="1:30">
      <c r="A21" t="str">
        <f>IF(Calculations!A7&lt;&gt;Parameters!$A$18,IF(Calculations!A7=0,"",Calculations!A7),Inputs!B10)</f>
        <v>Butter nuts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Tomatoes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84058.55810515305</v>
      </c>
      <c r="G22" s="36">
        <f>S22</f>
        <v>84058.55810515305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84058.55810515305</v>
      </c>
      <c r="M22" s="36">
        <f>Y22</f>
        <v>84058.55810515305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84058.55810515305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84058.55810515305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84058.55810515305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84058.55810515305</v>
      </c>
      <c r="Z22" s="36">
        <f>SUMIF($B$13:$Y$13,"Yes",B22:Y22)</f>
        <v>672468.4648412244</v>
      </c>
      <c r="AA22" s="36">
        <f>SUM(B22:M22)</f>
        <v>336234.2324206122</v>
      </c>
      <c r="AB22" s="46">
        <f>SUM(B22:Y22)</f>
        <v>672468.4648412244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958.3333333333334</v>
      </c>
      <c r="C25" s="36">
        <f>IFERROR(Calculations!$P15/12,"")</f>
        <v>958.3333333333334</v>
      </c>
      <c r="D25" s="36">
        <f>IFERROR(Calculations!$P15/12,"")</f>
        <v>958.3333333333334</v>
      </c>
      <c r="E25" s="36">
        <f>IFERROR(Calculations!$P15/12,"")</f>
        <v>958.3333333333334</v>
      </c>
      <c r="F25" s="36">
        <f>IFERROR(Calculations!$P15/12,"")</f>
        <v>958.3333333333334</v>
      </c>
      <c r="G25" s="36">
        <f>IFERROR(Calculations!$P15/12,"")</f>
        <v>958.3333333333334</v>
      </c>
      <c r="H25" s="36">
        <f>IFERROR(Calculations!$P15/12,"")</f>
        <v>958.3333333333334</v>
      </c>
      <c r="I25" s="36">
        <f>IFERROR(Calculations!$P15/12,"")</f>
        <v>958.3333333333334</v>
      </c>
      <c r="J25" s="36">
        <f>IFERROR(Calculations!$P15/12,"")</f>
        <v>958.3333333333334</v>
      </c>
      <c r="K25" s="36">
        <f>IFERROR(Calculations!$P15/12,"")</f>
        <v>958.3333333333334</v>
      </c>
      <c r="L25" s="36">
        <f>IFERROR(Calculations!$P15/12,"")</f>
        <v>958.3333333333334</v>
      </c>
      <c r="M25" s="36">
        <f>IFERROR(Calculations!$P15/12,"")</f>
        <v>958.3333333333334</v>
      </c>
      <c r="N25" s="36">
        <f>IFERROR(Calculations!$P15/12,"")</f>
        <v>958.3333333333334</v>
      </c>
      <c r="O25" s="36">
        <f>IFERROR(Calculations!$P15/12,"")</f>
        <v>958.3333333333334</v>
      </c>
      <c r="P25" s="36">
        <f>IFERROR(Calculations!$P15/12,"")</f>
        <v>958.3333333333334</v>
      </c>
      <c r="Q25" s="36">
        <f>IFERROR(Calculations!$P15/12,"")</f>
        <v>958.3333333333334</v>
      </c>
      <c r="R25" s="36">
        <f>IFERROR(Calculations!$P15/12,"")</f>
        <v>958.3333333333334</v>
      </c>
      <c r="S25" s="36">
        <f>IFERROR(Calculations!$P15/12,"")</f>
        <v>958.3333333333334</v>
      </c>
      <c r="T25" s="36">
        <f>IFERROR(Calculations!$P15/12,"")</f>
        <v>958.3333333333334</v>
      </c>
      <c r="U25" s="36">
        <f>IFERROR(Calculations!$P15/12,"")</f>
        <v>958.3333333333334</v>
      </c>
      <c r="V25" s="36">
        <f>IFERROR(Calculations!$P15/12,"")</f>
        <v>958.3333333333334</v>
      </c>
      <c r="W25" s="36">
        <f>IFERROR(Calculations!$P15/12,"")</f>
        <v>958.3333333333334</v>
      </c>
      <c r="X25" s="36">
        <f>IFERROR(Calculations!$P15/12,"")</f>
        <v>958.3333333333334</v>
      </c>
      <c r="Y25" s="36">
        <f>IFERROR(Calculations!$P15/12,"")</f>
        <v>958.3333333333334</v>
      </c>
      <c r="Z25" s="36">
        <f>SUMIF($B$13:$Y$13,"Yes",B25:Y25)</f>
        <v>23000</v>
      </c>
      <c r="AA25" s="36">
        <f>SUM(B25:M25)</f>
        <v>11500</v>
      </c>
      <c r="AB25" s="46">
        <f>SUM(B25:Y25)</f>
        <v>23000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78000</v>
      </c>
      <c r="C29" s="37">
        <f>Inputs!$B$30</f>
        <v>78000</v>
      </c>
      <c r="D29" s="37">
        <f>Inputs!$B$30</f>
        <v>78000</v>
      </c>
      <c r="E29" s="37">
        <f>Inputs!$B$30</f>
        <v>78000</v>
      </c>
      <c r="F29" s="37">
        <f>Inputs!$B$30</f>
        <v>78000</v>
      </c>
      <c r="G29" s="37">
        <f>Inputs!$B$30</f>
        <v>78000</v>
      </c>
      <c r="H29" s="37">
        <f>Inputs!$B$30</f>
        <v>78000</v>
      </c>
      <c r="I29" s="37">
        <f>Inputs!$B$30</f>
        <v>78000</v>
      </c>
      <c r="J29" s="37">
        <f>Inputs!$B$30</f>
        <v>78000</v>
      </c>
      <c r="K29" s="37">
        <f>Inputs!$B$30</f>
        <v>78000</v>
      </c>
      <c r="L29" s="37">
        <f>Inputs!$B$30</f>
        <v>78000</v>
      </c>
      <c r="M29" s="37">
        <f>Inputs!$B$30</f>
        <v>78000</v>
      </c>
      <c r="N29" s="37">
        <f>Inputs!$B$30</f>
        <v>78000</v>
      </c>
      <c r="O29" s="37">
        <f>Inputs!$B$30</f>
        <v>78000</v>
      </c>
      <c r="P29" s="37">
        <f>Inputs!$B$30</f>
        <v>78000</v>
      </c>
      <c r="Q29" s="37">
        <f>Inputs!$B$30</f>
        <v>78000</v>
      </c>
      <c r="R29" s="37">
        <f>Inputs!$B$30</f>
        <v>78000</v>
      </c>
      <c r="S29" s="37">
        <f>Inputs!$B$30</f>
        <v>78000</v>
      </c>
      <c r="T29" s="37">
        <f>Inputs!$B$30</f>
        <v>78000</v>
      </c>
      <c r="U29" s="37">
        <f>Inputs!$B$30</f>
        <v>78000</v>
      </c>
      <c r="V29" s="37">
        <f>Inputs!$B$30</f>
        <v>78000</v>
      </c>
      <c r="W29" s="37">
        <f>Inputs!$B$30</f>
        <v>78000</v>
      </c>
      <c r="X29" s="37">
        <f>Inputs!$B$30</f>
        <v>78000</v>
      </c>
      <c r="Y29" s="37">
        <f>Inputs!$B$30</f>
        <v>78000</v>
      </c>
      <c r="Z29" s="37">
        <f>SUMIF($B$13:$Y$13,"Yes",B29:Y29)</f>
        <v>1872000</v>
      </c>
      <c r="AA29" s="37">
        <f>SUM(B29:M29)</f>
        <v>936000</v>
      </c>
      <c r="AB29" s="37">
        <f>SUM(B29:Y29)</f>
        <v>1872000</v>
      </c>
    </row>
    <row r="30" spans="1:30" customHeight="1" ht="15.75">
      <c r="A30" s="1" t="s">
        <v>37</v>
      </c>
      <c r="B30" s="19">
        <f>SUM(B18:B29)</f>
        <v>104658.281439433</v>
      </c>
      <c r="C30" s="19">
        <f>SUM(C18:C29)</f>
        <v>105316.401250043</v>
      </c>
      <c r="D30" s="19">
        <f>SUM(D18:D29)</f>
        <v>98077.08333333333</v>
      </c>
      <c r="E30" s="19">
        <f>SUM(E18:E29)</f>
        <v>98077.08333333333</v>
      </c>
      <c r="F30" s="19">
        <f>SUM(F18:F29)</f>
        <v>182135.6414384864</v>
      </c>
      <c r="G30" s="19">
        <f>SUM(G18:G29)</f>
        <v>182135.6414384864</v>
      </c>
      <c r="H30" s="19">
        <f>SUM(H18:H29)</f>
        <v>104658.281439433</v>
      </c>
      <c r="I30" s="19">
        <f>SUM(I18:I29)</f>
        <v>105316.401250043</v>
      </c>
      <c r="J30" s="19">
        <f>SUM(J18:J29)</f>
        <v>98077.08333333333</v>
      </c>
      <c r="K30" s="19">
        <f>SUM(K18:K29)</f>
        <v>98077.08333333333</v>
      </c>
      <c r="L30" s="19">
        <f>SUM(L18:L29)</f>
        <v>182135.6414384864</v>
      </c>
      <c r="M30" s="19">
        <f>SUM(M18:M29)</f>
        <v>182135.6414384864</v>
      </c>
      <c r="N30" s="19">
        <f>SUM(N18:N29)</f>
        <v>104658.281439433</v>
      </c>
      <c r="O30" s="19">
        <f>SUM(O18:O29)</f>
        <v>105316.401250043</v>
      </c>
      <c r="P30" s="19">
        <f>SUM(P18:P29)</f>
        <v>98077.08333333333</v>
      </c>
      <c r="Q30" s="19">
        <f>SUM(Q18:Q29)</f>
        <v>98077.08333333333</v>
      </c>
      <c r="R30" s="19">
        <f>SUM(R18:R29)</f>
        <v>182135.6414384864</v>
      </c>
      <c r="S30" s="19">
        <f>SUM(S18:S29)</f>
        <v>182135.6414384864</v>
      </c>
      <c r="T30" s="19">
        <f>SUM(T18:T29)</f>
        <v>104658.281439433</v>
      </c>
      <c r="U30" s="19">
        <f>SUM(U18:U29)</f>
        <v>105316.401250043</v>
      </c>
      <c r="V30" s="19">
        <f>SUM(V18:V29)</f>
        <v>98077.08333333333</v>
      </c>
      <c r="W30" s="19">
        <f>SUM(W18:W29)</f>
        <v>98077.08333333333</v>
      </c>
      <c r="X30" s="19">
        <f>SUM(X18:X29)</f>
        <v>182135.6414384864</v>
      </c>
      <c r="Y30" s="19">
        <f>SUM(Y18:Y29)</f>
        <v>182135.6414384864</v>
      </c>
      <c r="Z30" s="19">
        <f>SUMIF($B$13:$Y$13,"Yes",B30:Y30)</f>
        <v>3081600.528932462</v>
      </c>
      <c r="AA30" s="19">
        <f>SUM(B30:M30)</f>
        <v>1540800.264466231</v>
      </c>
      <c r="AB30" s="19">
        <f>SUM(B30:Y30)</f>
        <v>3081600.528932462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4166.666666666666</v>
      </c>
      <c r="D36" s="36">
        <f>P36</f>
        <v>2166.666666666667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2166.666666666667</v>
      </c>
      <c r="J36" s="36">
        <f>V36</f>
        <v>2166.666666666667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4166.666666666666</v>
      </c>
      <c r="P36" s="36">
        <f>SUM(P37:P41)</f>
        <v>2166.666666666667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2166.666666666667</v>
      </c>
      <c r="V36" s="36">
        <f>SUM(V37:V41)</f>
        <v>2166.666666666667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24000.00000000001</v>
      </c>
      <c r="AA36" s="36">
        <f>SUM(B36:M36)</f>
        <v>12000</v>
      </c>
      <c r="AB36" s="36">
        <f>SUM(B36:Y36)</f>
        <v>24000.00000000001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Bananas</v>
      </c>
      <c r="B39" s="36">
        <f>N39</f>
        <v>166.6666666666667</v>
      </c>
      <c r="C39" s="36">
        <f>O39</f>
        <v>166.6666666666667</v>
      </c>
      <c r="D39" s="36">
        <f>P39</f>
        <v>166.6666666666667</v>
      </c>
      <c r="E39" s="36">
        <f>Q39</f>
        <v>166.6666666666667</v>
      </c>
      <c r="F39" s="36">
        <f>R39</f>
        <v>166.6666666666667</v>
      </c>
      <c r="G39" s="36">
        <f>S39</f>
        <v>166.6666666666667</v>
      </c>
      <c r="H39" s="36">
        <f>T39</f>
        <v>166.6666666666667</v>
      </c>
      <c r="I39" s="36">
        <f>U39</f>
        <v>166.6666666666667</v>
      </c>
      <c r="J39" s="36">
        <f>V39</f>
        <v>166.6666666666667</v>
      </c>
      <c r="K39" s="36">
        <f>W39</f>
        <v>166.6666666666667</v>
      </c>
      <c r="L39" s="36">
        <f>X39</f>
        <v>166.6666666666667</v>
      </c>
      <c r="M39" s="36">
        <f>Y39</f>
        <v>166.6666666666667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166.6666666666667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166.6666666666667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166.6666666666667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166.6666666666667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166.6666666666667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166.6666666666667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166.6666666666667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166.6666666666667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166.6666666666667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166.6666666666667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166.6666666666667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166.6666666666667</v>
      </c>
      <c r="Z39" s="36">
        <f>SUMIF($B$13:$Y$13,"Yes",B39:Y39)</f>
        <v>3999.999999999999</v>
      </c>
      <c r="AA39" s="36">
        <f>SUM(B39:M39)</f>
        <v>2000</v>
      </c>
      <c r="AB39" s="36">
        <f>SUM(B39:Y39)</f>
        <v>3999.999999999999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2000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2000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 t="str">
        <f>Calculations!$A$8</f>
        <v>Tomatoes</v>
      </c>
      <c r="B41" s="36">
        <f>N41</f>
        <v>0</v>
      </c>
      <c r="C41" s="36">
        <f>O41</f>
        <v>2000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2000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2000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2000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8000</v>
      </c>
      <c r="AA41" s="36">
        <f>SUM(B41:M41)</f>
        <v>4000</v>
      </c>
      <c r="AB41" s="36">
        <f>SUM(B41:Y41)</f>
        <v>8000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2500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2500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2500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2500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13000</v>
      </c>
      <c r="AA42" s="36">
        <f>SUM(B42:M42)</f>
        <v>6500</v>
      </c>
      <c r="AB42" s="36">
        <f>SUM(B42:Y42)</f>
        <v>13000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2500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2500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2500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2500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10000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Tomatoes</v>
      </c>
      <c r="B47" s="36">
        <f>N47</f>
        <v>0</v>
      </c>
      <c r="C47" s="36">
        <f>O47</f>
        <v>750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750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750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750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3000</v>
      </c>
      <c r="AA47" s="36">
        <f>SUM(B47:M47)</f>
        <v>1500</v>
      </c>
      <c r="AB47" s="36">
        <f>SUM(B47:Y47)</f>
        <v>3000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2000</v>
      </c>
      <c r="E48" s="36">
        <f>Q48</f>
        <v>4500</v>
      </c>
      <c r="F48" s="36">
        <f>R48</f>
        <v>3000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3000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2000</v>
      </c>
      <c r="Q48" s="46">
        <f>SUM(Q49:Q53)</f>
        <v>4500</v>
      </c>
      <c r="R48" s="46">
        <f>SUM(R49:R53)</f>
        <v>3000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3000</v>
      </c>
      <c r="Y48" s="46">
        <f>SUM(Y49:Y53)</f>
        <v>0</v>
      </c>
      <c r="Z48" s="46">
        <f>SUMIF($B$13:$Y$13,"Yes",B48:Y48)</f>
        <v>34000</v>
      </c>
      <c r="AA48" s="46">
        <f>SUM(B48:M48)</f>
        <v>17000</v>
      </c>
      <c r="AB48" s="46">
        <f>SUM(B48:Y48)</f>
        <v>34000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2000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2000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4000</v>
      </c>
      <c r="AA51" s="46">
        <f>SUM(B51:M51)</f>
        <v>2000</v>
      </c>
      <c r="AB51" s="46">
        <f>SUM(B51:Y51)</f>
        <v>4000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Tomatoes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4500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4500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4500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4500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18000</v>
      </c>
      <c r="AA53" s="46">
        <f>SUM(B53:M53)</f>
        <v>9000</v>
      </c>
      <c r="AB53" s="46">
        <f>SUM(B53:Y53)</f>
        <v>18000</v>
      </c>
    </row>
    <row r="54" spans="1:30" collapsed="true">
      <c r="A54" s="16" t="s">
        <v>42</v>
      </c>
      <c r="B54" s="36">
        <f>N54</f>
        <v>248.7225285751961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248.7225285751961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248.7225285751961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248.7225285751961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994.8901143007844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248.7225285751961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248.7225285751961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248.7225285751961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248.7225285751961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994.8901143007844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Tomatoes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Tomatoes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4550.104166666667</v>
      </c>
      <c r="C66" s="36">
        <f>O66</f>
        <v>8836.979166666666</v>
      </c>
      <c r="D66" s="36">
        <f>P66</f>
        <v>12446.97916666667</v>
      </c>
      <c r="E66" s="36">
        <f>Q66</f>
        <v>12446.97916666667</v>
      </c>
      <c r="F66" s="36">
        <f>R66</f>
        <v>12446.97916666667</v>
      </c>
      <c r="G66" s="36">
        <f>S66</f>
        <v>4550.104166666667</v>
      </c>
      <c r="H66" s="36">
        <f>T66</f>
        <v>4550.104166666667</v>
      </c>
      <c r="I66" s="36">
        <f>U66</f>
        <v>8836.979166666666</v>
      </c>
      <c r="J66" s="36">
        <f>V66</f>
        <v>12446.97916666667</v>
      </c>
      <c r="K66" s="36">
        <f>W66</f>
        <v>12446.97916666667</v>
      </c>
      <c r="L66" s="36">
        <f>X66</f>
        <v>12446.97916666667</v>
      </c>
      <c r="M66" s="36">
        <f>Y66</f>
        <v>4550.104166666667</v>
      </c>
      <c r="N66" s="46">
        <f>SUM(N67:N71)</f>
        <v>4550.104166666667</v>
      </c>
      <c r="O66" s="46">
        <f>SUM(O67:O71)</f>
        <v>8836.979166666666</v>
      </c>
      <c r="P66" s="46">
        <f>SUM(P67:P71)</f>
        <v>12446.97916666667</v>
      </c>
      <c r="Q66" s="46">
        <f>SUM(Q67:Q71)</f>
        <v>12446.97916666667</v>
      </c>
      <c r="R66" s="46">
        <f>SUM(R67:R71)</f>
        <v>12446.97916666667</v>
      </c>
      <c r="S66" s="46">
        <f>SUM(S67:S71)</f>
        <v>4550.104166666667</v>
      </c>
      <c r="T66" s="46">
        <f>SUM(T67:T71)</f>
        <v>4550.104166666667</v>
      </c>
      <c r="U66" s="46">
        <f>SUM(U67:U71)</f>
        <v>8836.979166666666</v>
      </c>
      <c r="V66" s="46">
        <f>SUM(V67:V71)</f>
        <v>12446.97916666667</v>
      </c>
      <c r="W66" s="46">
        <f>SUM(W67:W71)</f>
        <v>12446.97916666667</v>
      </c>
      <c r="X66" s="46">
        <f>SUM(X67:X71)</f>
        <v>12446.97916666667</v>
      </c>
      <c r="Y66" s="46">
        <f>SUM(Y67:Y71)</f>
        <v>4550.104166666667</v>
      </c>
      <c r="Z66" s="46">
        <f>SUMIF($B$13:$Y$13,"Yes",B66:Y66)</f>
        <v>221112.4999999999</v>
      </c>
      <c r="AA66" s="46">
        <f>SUM(B66:M66)</f>
        <v>110556.25</v>
      </c>
      <c r="AB66" s="46">
        <f>SUM(B66:Y66)</f>
        <v>221112.4999999999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3610</v>
      </c>
      <c r="C68" s="36">
        <f>O68</f>
        <v>0</v>
      </c>
      <c r="D68" s="36">
        <f>P68</f>
        <v>3610</v>
      </c>
      <c r="E68" s="36">
        <f>Q68</f>
        <v>3610</v>
      </c>
      <c r="F68" s="36">
        <f>R68</f>
        <v>3610</v>
      </c>
      <c r="G68" s="36">
        <f>S68</f>
        <v>3610</v>
      </c>
      <c r="H68" s="36">
        <f>T68</f>
        <v>3610</v>
      </c>
      <c r="I68" s="36">
        <f>U68</f>
        <v>0</v>
      </c>
      <c r="J68" s="36">
        <f>V68</f>
        <v>3610</v>
      </c>
      <c r="K68" s="36">
        <f>W68</f>
        <v>3610</v>
      </c>
      <c r="L68" s="36">
        <f>X68</f>
        <v>3610</v>
      </c>
      <c r="M68" s="36">
        <f>Y68</f>
        <v>3610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3610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3610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3610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3610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3610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3610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3610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3610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3610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3610</v>
      </c>
      <c r="Z68" s="46">
        <f>SUMIF($B$13:$Y$13,"Yes",B68:Y68)</f>
        <v>72200</v>
      </c>
      <c r="AA68" s="46">
        <f>SUM(B68:M68)</f>
        <v>36100</v>
      </c>
      <c r="AB68" s="46">
        <f>SUM(B68:Y68)</f>
        <v>72200</v>
      </c>
    </row>
    <row r="69" spans="1:30" hidden="true" outlineLevel="1">
      <c r="A69" s="181" t="str">
        <f>Calculations!$A$6</f>
        <v>Bananas</v>
      </c>
      <c r="B69" s="36">
        <f>N69</f>
        <v>940.1041666666666</v>
      </c>
      <c r="C69" s="36">
        <f>O69</f>
        <v>940.1041666666666</v>
      </c>
      <c r="D69" s="36">
        <f>P69</f>
        <v>940.1041666666666</v>
      </c>
      <c r="E69" s="36">
        <f>Q69</f>
        <v>940.1041666666666</v>
      </c>
      <c r="F69" s="36">
        <f>R69</f>
        <v>940.1041666666666</v>
      </c>
      <c r="G69" s="36">
        <f>S69</f>
        <v>940.1041666666666</v>
      </c>
      <c r="H69" s="36">
        <f>T69</f>
        <v>940.1041666666666</v>
      </c>
      <c r="I69" s="36">
        <f>U69</f>
        <v>940.1041666666666</v>
      </c>
      <c r="J69" s="36">
        <f>V69</f>
        <v>940.1041666666666</v>
      </c>
      <c r="K69" s="36">
        <f>W69</f>
        <v>940.1041666666666</v>
      </c>
      <c r="L69" s="36">
        <f>X69</f>
        <v>940.1041666666666</v>
      </c>
      <c r="M69" s="36">
        <f>Y69</f>
        <v>940.1041666666666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940.1041666666666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940.1041666666666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940.1041666666666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940.1041666666666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940.1041666666666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940.1041666666666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940.1041666666666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940.1041666666666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940.1041666666666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940.1041666666666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940.1041666666666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940.1041666666666</v>
      </c>
      <c r="Z69" s="46">
        <f>SUMIF($B$13:$Y$13,"Yes",B69:Y69)</f>
        <v>22562.5</v>
      </c>
      <c r="AA69" s="46">
        <f>SUM(B69:M69)</f>
        <v>11281.25</v>
      </c>
      <c r="AB69" s="46">
        <f>SUM(B69:Y69)</f>
        <v>22562.5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Tomatoes</v>
      </c>
      <c r="B71" s="36">
        <f>N71</f>
        <v>0</v>
      </c>
      <c r="C71" s="36">
        <f>O71</f>
        <v>7896.875</v>
      </c>
      <c r="D71" s="36">
        <f>P71</f>
        <v>7896.875</v>
      </c>
      <c r="E71" s="36">
        <f>Q71</f>
        <v>7896.875</v>
      </c>
      <c r="F71" s="36">
        <f>R71</f>
        <v>7896.875</v>
      </c>
      <c r="G71" s="36">
        <f>S71</f>
        <v>0</v>
      </c>
      <c r="H71" s="36">
        <f>T71</f>
        <v>0</v>
      </c>
      <c r="I71" s="36">
        <f>U71</f>
        <v>7896.875</v>
      </c>
      <c r="J71" s="36">
        <f>V71</f>
        <v>7896.875</v>
      </c>
      <c r="K71" s="36">
        <f>W71</f>
        <v>7896.875</v>
      </c>
      <c r="L71" s="36">
        <f>X71</f>
        <v>7896.875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7896.875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7896.875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7896.875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7896.875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7896.875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7896.875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7896.875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7896.875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126350</v>
      </c>
      <c r="AA71" s="46">
        <f>SUM(B71:M71)</f>
        <v>63175</v>
      </c>
      <c r="AB71" s="46">
        <f>SUM(B71:Y71)</f>
        <v>126350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380.2083333333333</v>
      </c>
      <c r="C74" s="46">
        <f>SUM(Calculations!$Q$14:$Q$16)/12</f>
        <v>380.2083333333333</v>
      </c>
      <c r="D74" s="46">
        <f>SUM(Calculations!$Q$14:$Q$16)/12</f>
        <v>380.2083333333333</v>
      </c>
      <c r="E74" s="46">
        <f>SUM(Calculations!$Q$14:$Q$16)/12</f>
        <v>380.2083333333333</v>
      </c>
      <c r="F74" s="46">
        <f>SUM(Calculations!$Q$14:$Q$16)/12</f>
        <v>380.2083333333333</v>
      </c>
      <c r="G74" s="46">
        <f>SUM(Calculations!$Q$14:$Q$16)/12</f>
        <v>380.2083333333333</v>
      </c>
      <c r="H74" s="46">
        <f>SUM(Calculations!$Q$14:$Q$16)/12</f>
        <v>380.2083333333333</v>
      </c>
      <c r="I74" s="46">
        <f>SUM(Calculations!$Q$14:$Q$16)/12</f>
        <v>380.2083333333333</v>
      </c>
      <c r="J74" s="46">
        <f>SUM(Calculations!$Q$14:$Q$16)/12</f>
        <v>380.2083333333333</v>
      </c>
      <c r="K74" s="46">
        <f>SUM(Calculations!$Q$14:$Q$16)/12</f>
        <v>380.2083333333333</v>
      </c>
      <c r="L74" s="46">
        <f>SUM(Calculations!$Q$14:$Q$16)/12</f>
        <v>380.2083333333333</v>
      </c>
      <c r="M74" s="46">
        <f>SUM(Calculations!$Q$14:$Q$16)/12</f>
        <v>380.2083333333333</v>
      </c>
      <c r="N74" s="46">
        <f>SUM(Calculations!$Q$14:$Q$16)/12</f>
        <v>380.2083333333333</v>
      </c>
      <c r="O74" s="46">
        <f>SUM(Calculations!$Q$14:$Q$16)/12</f>
        <v>380.2083333333333</v>
      </c>
      <c r="P74" s="46">
        <f>SUM(Calculations!$Q$14:$Q$16)/12</f>
        <v>380.2083333333333</v>
      </c>
      <c r="Q74" s="46">
        <f>SUM(Calculations!$Q$14:$Q$16)/12</f>
        <v>380.2083333333333</v>
      </c>
      <c r="R74" s="46">
        <f>SUM(Calculations!$Q$14:$Q$16)/12</f>
        <v>380.2083333333333</v>
      </c>
      <c r="S74" s="46">
        <f>SUM(Calculations!$Q$14:$Q$16)/12</f>
        <v>380.2083333333333</v>
      </c>
      <c r="T74" s="46">
        <f>SUM(Calculations!$Q$14:$Q$16)/12</f>
        <v>380.2083333333333</v>
      </c>
      <c r="U74" s="46">
        <f>SUM(Calculations!$Q$14:$Q$16)/12</f>
        <v>380.2083333333333</v>
      </c>
      <c r="V74" s="46">
        <f>SUM(Calculations!$Q$14:$Q$16)/12</f>
        <v>380.2083333333333</v>
      </c>
      <c r="W74" s="46">
        <f>SUM(Calculations!$Q$14:$Q$16)/12</f>
        <v>380.2083333333333</v>
      </c>
      <c r="X74" s="46">
        <f>SUM(Calculations!$Q$14:$Q$16)/12</f>
        <v>380.2083333333333</v>
      </c>
      <c r="Y74" s="46">
        <f>SUM(Calculations!$Q$14:$Q$16)/12</f>
        <v>380.2083333333333</v>
      </c>
      <c r="Z74" s="46">
        <f>SUMIF($B$13:$Y$13,"Yes",B74:Y74)</f>
        <v>9124.999999999998</v>
      </c>
      <c r="AA74" s="46">
        <f>SUM(B74:M74)</f>
        <v>4562.5</v>
      </c>
      <c r="AB74" s="46">
        <f>SUM(B74:Y74)</f>
        <v>9124.999999999998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1999.999999999999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125</v>
      </c>
      <c r="C76" s="46">
        <f>SUM(Calculations!$S$14:$S$16)/12</f>
        <v>125</v>
      </c>
      <c r="D76" s="46">
        <f>SUM(Calculations!$S$14:$S$16)/12</f>
        <v>125</v>
      </c>
      <c r="E76" s="46">
        <f>SUM(Calculations!$S$14:$S$16)/12</f>
        <v>125</v>
      </c>
      <c r="F76" s="46">
        <f>SUM(Calculations!$S$14:$S$16)/12</f>
        <v>125</v>
      </c>
      <c r="G76" s="46">
        <f>SUM(Calculations!$S$14:$S$16)/12</f>
        <v>125</v>
      </c>
      <c r="H76" s="46">
        <f>SUM(Calculations!$S$14:$S$16)/12</f>
        <v>125</v>
      </c>
      <c r="I76" s="46">
        <f>SUM(Calculations!$S$14:$S$16)/12</f>
        <v>125</v>
      </c>
      <c r="J76" s="46">
        <f>SUM(Calculations!$S$14:$S$16)/12</f>
        <v>125</v>
      </c>
      <c r="K76" s="46">
        <f>SUM(Calculations!$S$14:$S$16)/12</f>
        <v>125</v>
      </c>
      <c r="L76" s="46">
        <f>SUM(Calculations!$S$14:$S$16)/12</f>
        <v>125</v>
      </c>
      <c r="M76" s="46">
        <f>SUM(Calculations!$S$14:$S$16)/12</f>
        <v>125</v>
      </c>
      <c r="N76" s="46">
        <f>SUM(Calculations!$S$14:$S$16)/12</f>
        <v>125</v>
      </c>
      <c r="O76" s="46">
        <f>SUM(Calculations!$S$14:$S$16)/12</f>
        <v>125</v>
      </c>
      <c r="P76" s="46">
        <f>SUM(Calculations!$S$14:$S$16)/12</f>
        <v>125</v>
      </c>
      <c r="Q76" s="46">
        <f>SUM(Calculations!$S$14:$S$16)/12</f>
        <v>125</v>
      </c>
      <c r="R76" s="46">
        <f>SUM(Calculations!$S$14:$S$16)/12</f>
        <v>125</v>
      </c>
      <c r="S76" s="46">
        <f>SUM(Calculations!$S$14:$S$16)/12</f>
        <v>125</v>
      </c>
      <c r="T76" s="46">
        <f>SUM(Calculations!$S$14:$S$16)/12</f>
        <v>125</v>
      </c>
      <c r="U76" s="46">
        <f>SUM(Calculations!$S$14:$S$16)/12</f>
        <v>125</v>
      </c>
      <c r="V76" s="46">
        <f>SUM(Calculations!$S$14:$S$16)/12</f>
        <v>125</v>
      </c>
      <c r="W76" s="46">
        <f>SUM(Calculations!$S$14:$S$16)/12</f>
        <v>125</v>
      </c>
      <c r="X76" s="46">
        <f>SUM(Calculations!$S$14:$S$16)/12</f>
        <v>125</v>
      </c>
      <c r="Y76" s="46">
        <f>SUM(Calculations!$S$14:$S$16)/12</f>
        <v>125</v>
      </c>
      <c r="Z76" s="46">
        <f>SUMIF($B$13:$Y$13,"Yes",B76:Y76)</f>
        <v>3000</v>
      </c>
      <c r="AA76" s="46">
        <f>SUM(B76:M76)</f>
        <v>1500</v>
      </c>
      <c r="AB76" s="46">
        <f>SUM(B76:Y76)</f>
        <v>3000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40239.46898030268</v>
      </c>
      <c r="C81" s="46">
        <f>(SUM($AA$18:$AA$29)-SUM($AA$36,$AA$42,$AA$48,$AA$54,$AA$60,$AA$66,$AA$72:$AA$79))*Parameters!$B$37/12</f>
        <v>40239.46898030268</v>
      </c>
      <c r="D81" s="46">
        <f>(SUM($AA$18:$AA$29)-SUM($AA$36,$AA$42,$AA$48,$AA$54,$AA$60,$AA$66,$AA$72:$AA$79))*Parameters!$B$37/12</f>
        <v>40239.46898030268</v>
      </c>
      <c r="E81" s="46">
        <f>(SUM($AA$18:$AA$29)-SUM($AA$36,$AA$42,$AA$48,$AA$54,$AA$60,$AA$66,$AA$72:$AA$79))*Parameters!$B$37/12</f>
        <v>40239.46898030268</v>
      </c>
      <c r="F81" s="46">
        <f>(SUM($AA$18:$AA$29)-SUM($AA$36,$AA$42,$AA$48,$AA$54,$AA$60,$AA$66,$AA$72:$AA$79))*Parameters!$B$37/12</f>
        <v>40239.46898030268</v>
      </c>
      <c r="G81" s="46">
        <f>(SUM($AA$18:$AA$29)-SUM($AA$36,$AA$42,$AA$48,$AA$54,$AA$60,$AA$66,$AA$72:$AA$79))*Parameters!$B$37/12</f>
        <v>40239.46898030268</v>
      </c>
      <c r="H81" s="46">
        <f>(SUM($AA$18:$AA$29)-SUM($AA$36,$AA$42,$AA$48,$AA$54,$AA$60,$AA$66,$AA$72:$AA$79))*Parameters!$B$37/12</f>
        <v>40239.46898030268</v>
      </c>
      <c r="I81" s="46">
        <f>(SUM($AA$18:$AA$29)-SUM($AA$36,$AA$42,$AA$48,$AA$54,$AA$60,$AA$66,$AA$72:$AA$79))*Parameters!$B$37/12</f>
        <v>40239.46898030268</v>
      </c>
      <c r="J81" s="46">
        <f>(SUM($AA$18:$AA$29)-SUM($AA$36,$AA$42,$AA$48,$AA$54,$AA$60,$AA$66,$AA$72:$AA$79))*Parameters!$B$37/12</f>
        <v>40239.46898030268</v>
      </c>
      <c r="K81" s="46">
        <f>(SUM($AA$18:$AA$29)-SUM($AA$36,$AA$42,$AA$48,$AA$54,$AA$60,$AA$66,$AA$72:$AA$79))*Parameters!$B$37/12</f>
        <v>40239.46898030268</v>
      </c>
      <c r="L81" s="46">
        <f>(SUM($AA$18:$AA$29)-SUM($AA$36,$AA$42,$AA$48,$AA$54,$AA$60,$AA$66,$AA$72:$AA$79))*Parameters!$B$37/12</f>
        <v>40239.46898030268</v>
      </c>
      <c r="M81" s="46">
        <f>(SUM($AA$18:$AA$29)-SUM($AA$36,$AA$42,$AA$48,$AA$54,$AA$60,$AA$66,$AA$72:$AA$79))*Parameters!$B$37/12</f>
        <v>40239.46898030268</v>
      </c>
      <c r="N81" s="46">
        <f>(SUM($AA$18:$AA$29)-SUM($AA$36,$AA$42,$AA$48,$AA$54,$AA$60,$AA$66,$AA$72:$AA$79))*Parameters!$B$37/12</f>
        <v>40239.46898030268</v>
      </c>
      <c r="O81" s="46">
        <f>(SUM($AA$18:$AA$29)-SUM($AA$36,$AA$42,$AA$48,$AA$54,$AA$60,$AA$66,$AA$72:$AA$79))*Parameters!$B$37/12</f>
        <v>40239.46898030268</v>
      </c>
      <c r="P81" s="46">
        <f>(SUM($AA$18:$AA$29)-SUM($AA$36,$AA$42,$AA$48,$AA$54,$AA$60,$AA$66,$AA$72:$AA$79))*Parameters!$B$37/12</f>
        <v>40239.46898030268</v>
      </c>
      <c r="Q81" s="46">
        <f>(SUM($AA$18:$AA$29)-SUM($AA$36,$AA$42,$AA$48,$AA$54,$AA$60,$AA$66,$AA$72:$AA$79))*Parameters!$B$37/12</f>
        <v>40239.46898030268</v>
      </c>
      <c r="R81" s="46">
        <f>(SUM($AA$18:$AA$29)-SUM($AA$36,$AA$42,$AA$48,$AA$54,$AA$60,$AA$66,$AA$72:$AA$79))*Parameters!$B$37/12</f>
        <v>40239.46898030268</v>
      </c>
      <c r="S81" s="46">
        <f>(SUM($AA$18:$AA$29)-SUM($AA$36,$AA$42,$AA$48,$AA$54,$AA$60,$AA$66,$AA$72:$AA$79))*Parameters!$B$37/12</f>
        <v>40239.46898030268</v>
      </c>
      <c r="T81" s="46">
        <f>(SUM($AA$18:$AA$29)-SUM($AA$36,$AA$42,$AA$48,$AA$54,$AA$60,$AA$66,$AA$72:$AA$79))*Parameters!$B$37/12</f>
        <v>40239.46898030268</v>
      </c>
      <c r="U81" s="46">
        <f>(SUM($AA$18:$AA$29)-SUM($AA$36,$AA$42,$AA$48,$AA$54,$AA$60,$AA$66,$AA$72:$AA$79))*Parameters!$B$37/12</f>
        <v>40239.46898030268</v>
      </c>
      <c r="V81" s="46">
        <f>(SUM($AA$18:$AA$29)-SUM($AA$36,$AA$42,$AA$48,$AA$54,$AA$60,$AA$66,$AA$72:$AA$79))*Parameters!$B$37/12</f>
        <v>40239.46898030268</v>
      </c>
      <c r="W81" s="46">
        <f>(SUM($AA$18:$AA$29)-SUM($AA$36,$AA$42,$AA$48,$AA$54,$AA$60,$AA$66,$AA$72:$AA$79))*Parameters!$B$37/12</f>
        <v>40239.46898030268</v>
      </c>
      <c r="X81" s="46">
        <f>(SUM($AA$18:$AA$29)-SUM($AA$36,$AA$42,$AA$48,$AA$54,$AA$60,$AA$66,$AA$72:$AA$79))*Parameters!$B$37/12</f>
        <v>40239.46898030268</v>
      </c>
      <c r="Y81" s="46">
        <f>(SUM($AA$18:$AA$29)-SUM($AA$36,$AA$42,$AA$48,$AA$54,$AA$60,$AA$66,$AA$72:$AA$79))*Parameters!$B$37/12</f>
        <v>40239.46898030268</v>
      </c>
      <c r="Z81" s="46">
        <f>SUMIF($B$13:$Y$13,"Yes",B81:Y81)</f>
        <v>965747.2555272643</v>
      </c>
      <c r="AA81" s="46">
        <f>SUM(B81:M81)</f>
        <v>482873.6277636322</v>
      </c>
      <c r="AB81" s="46">
        <f>SUM(B81:Y81)</f>
        <v>965747.2555272643</v>
      </c>
    </row>
    <row r="82" spans="1:30">
      <c r="A82" s="16" t="s">
        <v>52</v>
      </c>
      <c r="B82" s="46">
        <f>SUM(B83:B87)</f>
        <v>571.505</v>
      </c>
      <c r="C82" s="46">
        <f>SUM(C83:C87)</f>
        <v>571.505</v>
      </c>
      <c r="D82" s="46">
        <f>SUM(D83:D87)</f>
        <v>571.505</v>
      </c>
      <c r="E82" s="46">
        <f>SUM(E83:E87)</f>
        <v>571.505</v>
      </c>
      <c r="F82" s="46">
        <f>SUM(F83:F87)</f>
        <v>571.505</v>
      </c>
      <c r="G82" s="46">
        <f>SUM(G83:G87)</f>
        <v>571.505</v>
      </c>
      <c r="H82" s="46">
        <f>SUM(H83:H87)</f>
        <v>571.505</v>
      </c>
      <c r="I82" s="46">
        <f>SUM(I83:I87)</f>
        <v>571.505</v>
      </c>
      <c r="J82" s="46">
        <f>SUM(J83:J87)</f>
        <v>571.505</v>
      </c>
      <c r="K82" s="46">
        <f>SUM(K83:K87)</f>
        <v>571.505</v>
      </c>
      <c r="L82" s="46">
        <f>SUM(L83:L87)</f>
        <v>571.505</v>
      </c>
      <c r="M82" s="46">
        <f>SUM(M83:M87)</f>
        <v>571.505</v>
      </c>
      <c r="N82" s="46">
        <f>SUM(N83:N87)</f>
        <v>571.505</v>
      </c>
      <c r="O82" s="46">
        <f>SUM(O83:O87)</f>
        <v>571.505</v>
      </c>
      <c r="P82" s="46">
        <f>SUM(P83:P87)</f>
        <v>571.505</v>
      </c>
      <c r="Q82" s="46">
        <f>SUM(Q83:Q87)</f>
        <v>571.505</v>
      </c>
      <c r="R82" s="46">
        <f>SUM(R83:R87)</f>
        <v>571.505</v>
      </c>
      <c r="S82" s="46">
        <f>SUM(S83:S87)</f>
        <v>571.505</v>
      </c>
      <c r="T82" s="46">
        <f>SUM(T83:T87)</f>
        <v>571.505</v>
      </c>
      <c r="U82" s="46">
        <f>SUM(U83:U87)</f>
        <v>571.505</v>
      </c>
      <c r="V82" s="46">
        <f>SUM(V83:V87)</f>
        <v>571.505</v>
      </c>
      <c r="W82" s="46">
        <f>SUM(W83:W87)</f>
        <v>571.505</v>
      </c>
      <c r="X82" s="46">
        <f>SUM(X83:X87)</f>
        <v>571.505</v>
      </c>
      <c r="Y82" s="46">
        <f>SUM(Y83:Y87)</f>
        <v>571.505</v>
      </c>
      <c r="Z82" s="46">
        <f>SUMIF($B$13:$Y$13,"Yes",B82:Y82)</f>
        <v>13716.11999999999</v>
      </c>
      <c r="AA82" s="46">
        <f>SUM(B82:M82)</f>
        <v>6858.06</v>
      </c>
      <c r="AB82" s="46">
        <f>SUM(B82:Y82)</f>
        <v>13716.11999999999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571.505</v>
      </c>
      <c r="C84" s="46">
        <f>IF(Calculations!$E24&gt;COUNT(Output!$B$35:C$35),Calculations!$B24,IF(Calculations!$E24=COUNT(Output!$B$35:C$35),Inputs!$B57-Calculations!$C24*(Calculations!$E24-1)+Calculations!$D24,0))</f>
        <v>571.505</v>
      </c>
      <c r="D84" s="46">
        <f>IF(Calculations!$E24&gt;COUNT(Output!$B$35:D$35),Calculations!$B24,IF(Calculations!$E24=COUNT(Output!$B$35:D$35),Inputs!$B57-Calculations!$C24*(Calculations!$E24-1)+Calculations!$D24,0))</f>
        <v>571.505</v>
      </c>
      <c r="E84" s="46">
        <f>IF(Calculations!$E24&gt;COUNT(Output!$B$35:E$35),Calculations!$B24,IF(Calculations!$E24=COUNT(Output!$B$35:E$35),Inputs!$B57-Calculations!$C24*(Calculations!$E24-1)+Calculations!$D24,0))</f>
        <v>571.505</v>
      </c>
      <c r="F84" s="46">
        <f>IF(Calculations!$E24&gt;COUNT(Output!$B$35:F$35),Calculations!$B24,IF(Calculations!$E24=COUNT(Output!$B$35:F$35),Inputs!$B57-Calculations!$C24*(Calculations!$E24-1)+Calculations!$D24,0))</f>
        <v>571.505</v>
      </c>
      <c r="G84" s="46">
        <f>IF(Calculations!$E24&gt;COUNT(Output!$B$35:G$35),Calculations!$B24,IF(Calculations!$E24=COUNT(Output!$B$35:G$35),Inputs!$B57-Calculations!$C24*(Calculations!$E24-1)+Calculations!$D24,0))</f>
        <v>571.505</v>
      </c>
      <c r="H84" s="46">
        <f>IF(Calculations!$E24&gt;COUNT(Output!$B$35:H$35),Calculations!$B24,IF(Calculations!$E24=COUNT(Output!$B$35:H$35),Inputs!$B57-Calculations!$C24*(Calculations!$E24-1)+Calculations!$D24,0))</f>
        <v>571.505</v>
      </c>
      <c r="I84" s="46">
        <f>IF(Calculations!$E24&gt;COUNT(Output!$B$35:I$35),Calculations!$B24,IF(Calculations!$E24=COUNT(Output!$B$35:I$35),Inputs!$B57-Calculations!$C24*(Calculations!$E24-1)+Calculations!$D24,0))</f>
        <v>571.505</v>
      </c>
      <c r="J84" s="46">
        <f>IF(Calculations!$E24&gt;COUNT(Output!$B$35:J$35),Calculations!$B24,IF(Calculations!$E24=COUNT(Output!$B$35:J$35),Inputs!$B57-Calculations!$C24*(Calculations!$E24-1)+Calculations!$D24,0))</f>
        <v>571.505</v>
      </c>
      <c r="K84" s="46">
        <f>IF(Calculations!$E24&gt;COUNT(Output!$B$35:K$35),Calculations!$B24,IF(Calculations!$E24=COUNT(Output!$B$35:K$35),Inputs!$B57-Calculations!$C24*(Calculations!$E24-1)+Calculations!$D24,0))</f>
        <v>571.505</v>
      </c>
      <c r="L84" s="46">
        <f>IF(Calculations!$E24&gt;COUNT(Output!$B$35:L$35),Calculations!$B24,IF(Calculations!$E24=COUNT(Output!$B$35:L$35),Inputs!$B57-Calculations!$C24*(Calculations!$E24-1)+Calculations!$D24,0))</f>
        <v>571.505</v>
      </c>
      <c r="M84" s="46">
        <f>IF(Calculations!$E24&gt;COUNT(Output!$B$35:M$35),Calculations!$B24,IF(Calculations!$E24=COUNT(Output!$B$35:M$35),Inputs!$B57-Calculations!$C24*(Calculations!$E24-1)+Calculations!$D24,0))</f>
        <v>571.505</v>
      </c>
      <c r="N84" s="46">
        <f>IF(Calculations!$E24&gt;COUNT(Output!$B$35:N$35),Calculations!$B24,IF(Calculations!$E24=COUNT(Output!$B$35:N$35),Inputs!$B57-Calculations!$C24*(Calculations!$E24-1)+Calculations!$D24,0))</f>
        <v>571.505</v>
      </c>
      <c r="O84" s="46">
        <f>IF(Calculations!$E24&gt;COUNT(Output!$B$35:O$35),Calculations!$B24,IF(Calculations!$E24=COUNT(Output!$B$35:O$35),Inputs!$B57-Calculations!$C24*(Calculations!$E24-1)+Calculations!$D24,0))</f>
        <v>571.505</v>
      </c>
      <c r="P84" s="46">
        <f>IF(Calculations!$E24&gt;COUNT(Output!$B$35:P$35),Calculations!$B24,IF(Calculations!$E24=COUNT(Output!$B$35:P$35),Inputs!$B57-Calculations!$C24*(Calculations!$E24-1)+Calculations!$D24,0))</f>
        <v>571.505</v>
      </c>
      <c r="Q84" s="46">
        <f>IF(Calculations!$E24&gt;COUNT(Output!$B$35:Q$35),Calculations!$B24,IF(Calculations!$E24=COUNT(Output!$B$35:Q$35),Inputs!$B57-Calculations!$C24*(Calculations!$E24-1)+Calculations!$D24,0))</f>
        <v>571.505</v>
      </c>
      <c r="R84" s="46">
        <f>IF(Calculations!$E24&gt;COUNT(Output!$B$35:R$35),Calculations!$B24,IF(Calculations!$E24=COUNT(Output!$B$35:R$35),Inputs!$B57-Calculations!$C24*(Calculations!$E24-1)+Calculations!$D24,0))</f>
        <v>571.505</v>
      </c>
      <c r="S84" s="46">
        <f>IF(Calculations!$E24&gt;COUNT(Output!$B$35:S$35),Calculations!$B24,IF(Calculations!$E24=COUNT(Output!$B$35:S$35),Inputs!$B57-Calculations!$C24*(Calculations!$E24-1)+Calculations!$D24,0))</f>
        <v>571.505</v>
      </c>
      <c r="T84" s="46">
        <f>IF(Calculations!$E24&gt;COUNT(Output!$B$35:T$35),Calculations!$B24,IF(Calculations!$E24=COUNT(Output!$B$35:T$35),Inputs!$B57-Calculations!$C24*(Calculations!$E24-1)+Calculations!$D24,0))</f>
        <v>571.505</v>
      </c>
      <c r="U84" s="46">
        <f>IF(Calculations!$E24&gt;COUNT(Output!$B$35:U$35),Calculations!$B24,IF(Calculations!$E24=COUNT(Output!$B$35:U$35),Inputs!$B57-Calculations!$C24*(Calculations!$E24-1)+Calculations!$D24,0))</f>
        <v>571.505</v>
      </c>
      <c r="V84" s="46">
        <f>IF(Calculations!$E24&gt;COUNT(Output!$B$35:V$35),Calculations!$B24,IF(Calculations!$E24=COUNT(Output!$B$35:V$35),Inputs!$B57-Calculations!$C24*(Calculations!$E24-1)+Calculations!$D24,0))</f>
        <v>571.505</v>
      </c>
      <c r="W84" s="46">
        <f>IF(Calculations!$E24&gt;COUNT(Output!$B$35:W$35),Calculations!$B24,IF(Calculations!$E24=COUNT(Output!$B$35:W$35),Inputs!$B57-Calculations!$C24*(Calculations!$E24-1)+Calculations!$D24,0))</f>
        <v>571.505</v>
      </c>
      <c r="X84" s="46">
        <f>IF(Calculations!$E24&gt;COUNT(Output!$B$35:X$35),Calculations!$B24,IF(Calculations!$E24=COUNT(Output!$B$35:X$35),Inputs!$B57-Calculations!$C24*(Calculations!$E24-1)+Calculations!$D24,0))</f>
        <v>571.505</v>
      </c>
      <c r="Y84" s="46">
        <f>IF(Calculations!$E24&gt;COUNT(Output!$B$35:Y$35),Calculations!$B24,IF(Calculations!$E24=COUNT(Output!$B$35:Y$35),Inputs!$B57-Calculations!$C24*(Calculations!$E24-1)+Calculations!$D24,0))</f>
        <v>571.505</v>
      </c>
      <c r="Z84" s="46">
        <f>SUMIF($B$13:$Y$13,"Yes",B84:Y84)</f>
        <v>13716.11999999999</v>
      </c>
      <c r="AA84" s="46">
        <f>SUM(B84:M84)</f>
        <v>6858.06</v>
      </c>
      <c r="AB84" s="46">
        <f>SUM(B84:Y84)</f>
        <v>13716.11999999999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61365.00900887787</v>
      </c>
      <c r="C88" s="19">
        <f>SUM(C72:C82,C66,C60,C54,C48,C42,C36)</f>
        <v>70153.16148030268</v>
      </c>
      <c r="D88" s="19">
        <f>SUM(D72:D82,D66,D60,D54,D48,D42,D36)</f>
        <v>75513.16148030268</v>
      </c>
      <c r="E88" s="19">
        <f>SUM(E72:E82,E66,E60,E54,E48,E42,E36)</f>
        <v>73513.16148030268</v>
      </c>
      <c r="F88" s="19">
        <f>SUM(F72:F82,F66,F60,F54,F48,F42,F36)</f>
        <v>72013.16148030268</v>
      </c>
      <c r="G88" s="19">
        <f>SUM(G72:G82,G66,G60,G54,G48,G42,G36)</f>
        <v>61116.28648030267</v>
      </c>
      <c r="H88" s="19">
        <f>SUM(H72:H82,H66,H60,H54,H48,H42,H36)</f>
        <v>61365.00900887787</v>
      </c>
      <c r="I88" s="19">
        <f>SUM(I72:I82,I66,I60,I54,I48,I42,I36)</f>
        <v>68153.16148030268</v>
      </c>
      <c r="J88" s="19">
        <f>SUM(J72:J82,J66,J60,J54,J48,J42,J36)</f>
        <v>73513.16148030268</v>
      </c>
      <c r="K88" s="19">
        <f>SUM(K72:K82,K66,K60,K54,K48,K42,K36)</f>
        <v>73513.16148030268</v>
      </c>
      <c r="L88" s="19">
        <f>SUM(L72:L82,L66,L60,L54,L48,L42,L36)</f>
        <v>72013.16148030268</v>
      </c>
      <c r="M88" s="19">
        <f>SUM(M72:M82,M66,M60,M54,M48,M42,M36)</f>
        <v>61116.28648030267</v>
      </c>
      <c r="N88" s="19">
        <f>SUM(N72:N82,N66,N60,N54,N48,N42,N36)</f>
        <v>61365.00900887787</v>
      </c>
      <c r="O88" s="19">
        <f>SUM(O72:O82,O66,O60,O54,O48,O42,O36)</f>
        <v>70153.16148030268</v>
      </c>
      <c r="P88" s="19">
        <f>SUM(P72:P82,P66,P60,P54,P48,P42,P36)</f>
        <v>75513.16148030268</v>
      </c>
      <c r="Q88" s="19">
        <f>SUM(Q72:Q82,Q66,Q60,Q54,Q48,Q42,Q36)</f>
        <v>73513.16148030268</v>
      </c>
      <c r="R88" s="19">
        <f>SUM(R72:R82,R66,R60,R54,R48,R42,R36)</f>
        <v>72013.16148030268</v>
      </c>
      <c r="S88" s="19">
        <f>SUM(S72:S82,S66,S60,S54,S48,S42,S36)</f>
        <v>61116.28648030267</v>
      </c>
      <c r="T88" s="19">
        <f>SUM(T72:T82,T66,T60,T54,T48,T42,T36)</f>
        <v>61365.00900887787</v>
      </c>
      <c r="U88" s="19">
        <f>SUM(U72:U82,U66,U60,U54,U48,U42,U36)</f>
        <v>68153.16148030268</v>
      </c>
      <c r="V88" s="19">
        <f>SUM(V72:V82,V66,V60,V54,V48,V42,V36)</f>
        <v>73513.16148030268</v>
      </c>
      <c r="W88" s="19">
        <f>SUM(W72:W82,W66,W60,W54,W48,W42,W36)</f>
        <v>73513.16148030268</v>
      </c>
      <c r="X88" s="19">
        <f>SUM(X72:X82,X66,X60,X54,X48,X42,X36)</f>
        <v>72013.16148030268</v>
      </c>
      <c r="Y88" s="19">
        <f>SUM(Y72:Y82,Y66,Y60,Y54,Y48,Y42,Y36)</f>
        <v>61116.28648030267</v>
      </c>
      <c r="Z88" s="19">
        <f>SUMIF($B$13:$Y$13,"Yes",B88:Y88)</f>
        <v>1646695.765641565</v>
      </c>
      <c r="AA88" s="19">
        <f>SUM(B88:M88)</f>
        <v>823347.8828207826</v>
      </c>
      <c r="AB88" s="19">
        <f>SUM(B88:Y88)</f>
        <v>1646695.765641565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2000000</v>
      </c>
    </row>
    <row r="96" spans="1:30">
      <c r="A96" t="s">
        <v>62</v>
      </c>
      <c r="B96" s="36">
        <f>SUMPRODUCT(Inputs!C19:C21,Calculations!O14:O16)</f>
        <v>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12500000</v>
      </c>
    </row>
    <row r="99" spans="1:30">
      <c r="A99" t="s">
        <v>65</v>
      </c>
      <c r="B99" s="36">
        <f>Inputs!B46</f>
        <v>2100000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18880000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1456825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4456825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</v>
      </c>
      <c r="N8" s="154">
        <v>1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5</v>
      </c>
      <c r="N9" s="154">
        <v>1</v>
      </c>
    </row>
    <row r="10" spans="1:48">
      <c r="A10" s="143" t="s">
        <v>98</v>
      </c>
      <c r="B10" s="16" t="s">
        <v>99</v>
      </c>
      <c r="C10" s="143">
        <v>1</v>
      </c>
      <c r="D10" s="16">
        <v>200000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100</v>
      </c>
      <c r="K10" s="138" t="s">
        <v>94</v>
      </c>
      <c r="L10" s="16">
        <v>60</v>
      </c>
      <c r="M10" s="165">
        <v>5</v>
      </c>
      <c r="N10" s="154">
        <v>1</v>
      </c>
    </row>
    <row r="11" spans="1:48">
      <c r="A11" s="144" t="s">
        <v>101</v>
      </c>
      <c r="B11" s="23"/>
      <c r="C11" s="144">
        <v>1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100</v>
      </c>
      <c r="K11" s="119"/>
      <c r="L11" s="23"/>
      <c r="M11" s="167">
        <v>5</v>
      </c>
      <c r="N11" s="155">
        <v>1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116</v>
      </c>
      <c r="J19" s="145"/>
      <c r="K19" s="145"/>
      <c r="L19" s="25"/>
    </row>
    <row r="20" spans="1:48">
      <c r="A20" s="143" t="s">
        <v>117</v>
      </c>
      <c r="B20" s="16"/>
      <c r="C20" s="143">
        <v>5</v>
      </c>
      <c r="D20" s="147"/>
      <c r="E20" s="16"/>
      <c r="F20" s="147" t="s">
        <v>92</v>
      </c>
      <c r="G20" s="16"/>
      <c r="H20" s="16"/>
      <c r="I20" s="147" t="s">
        <v>116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5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78000</v>
      </c>
    </row>
    <row r="31" spans="1:48">
      <c r="A31" s="5" t="s">
        <v>124</v>
      </c>
      <c r="B31" s="158">
        <v>15000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12500000</v>
      </c>
    </row>
    <row r="46" spans="1:48" customHeight="1" ht="30">
      <c r="A46" s="57" t="s">
        <v>138</v>
      </c>
      <c r="B46" s="161">
        <v>2100000</v>
      </c>
    </row>
    <row r="47" spans="1:48" customHeight="1" ht="30">
      <c r="A47" s="57" t="s">
        <v>139</v>
      </c>
      <c r="B47" s="161">
        <v>2000000</v>
      </c>
    </row>
    <row r="48" spans="1:48" customHeight="1" ht="30">
      <c r="A48" s="57" t="s">
        <v>140</v>
      </c>
      <c r="B48" s="161">
        <v>0</v>
      </c>
    </row>
    <row r="49" spans="1:48" customHeight="1" ht="30">
      <c r="A49" s="57" t="s">
        <v>141</v>
      </c>
      <c r="B49" s="161">
        <v>120000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2500000</v>
      </c>
      <c r="B56" s="159">
        <v>1425652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31173</v>
      </c>
      <c r="B57" s="157">
        <v>31173</v>
      </c>
      <c r="C57" s="164" t="s">
        <v>153</v>
      </c>
      <c r="D57" s="165" t="s">
        <v>154</v>
      </c>
      <c r="E57" s="165" t="s">
        <v>92</v>
      </c>
      <c r="F57" s="165" t="s">
        <v>155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157</v>
      </c>
      <c r="C65" s="10" t="s">
        <v>158</v>
      </c>
    </row>
    <row r="66" spans="1:48">
      <c r="A66" s="142" t="s">
        <v>159</v>
      </c>
      <c r="B66" s="159">
        <v>419645</v>
      </c>
      <c r="C66" s="163">
        <v>344313</v>
      </c>
      <c r="D66" s="49">
        <f>INDEX(Parameters!$D$79:$D$90,MATCH(Inputs!A66,Parameters!$C$79:$C$90,0))</f>
        <v>7</v>
      </c>
    </row>
    <row r="67" spans="1:48">
      <c r="A67" s="143" t="s">
        <v>160</v>
      </c>
      <c r="B67" s="157">
        <v>553415</v>
      </c>
      <c r="C67" s="165">
        <v>428938</v>
      </c>
      <c r="D67" s="49">
        <f>INDEX(Parameters!$D$79:$D$90,MATCH(Inputs!A67,Parameters!$C$79:$C$90,0))</f>
        <v>6</v>
      </c>
    </row>
    <row r="68" spans="1:48">
      <c r="A68" s="143" t="s">
        <v>161</v>
      </c>
      <c r="B68" s="157">
        <v>491684</v>
      </c>
      <c r="C68" s="165">
        <v>371657</v>
      </c>
      <c r="D68" s="49">
        <f>INDEX(Parameters!$D$79:$D$90,MATCH(Inputs!A68,Parameters!$C$79:$C$90,0))</f>
        <v>5</v>
      </c>
    </row>
    <row r="69" spans="1:48">
      <c r="A69" s="143" t="s">
        <v>162</v>
      </c>
      <c r="B69" s="157">
        <v>594383</v>
      </c>
      <c r="C69" s="165">
        <v>401097</v>
      </c>
      <c r="D69" s="49">
        <f>INDEX(Parameters!$D$79:$D$90,MATCH(Inputs!A69,Parameters!$C$79:$C$90,0))</f>
        <v>4</v>
      </c>
    </row>
    <row r="70" spans="1:48">
      <c r="A70" s="143" t="s">
        <v>163</v>
      </c>
      <c r="B70" s="157">
        <v>611648</v>
      </c>
      <c r="C70" s="165">
        <v>522106</v>
      </c>
      <c r="D70" s="49">
        <f>INDEX(Parameters!$D$79:$D$90,MATCH(Inputs!A70,Parameters!$C$79:$C$90,0))</f>
        <v>3</v>
      </c>
    </row>
    <row r="71" spans="1:48">
      <c r="A71" s="144" t="s">
        <v>164</v>
      </c>
      <c r="B71" s="158">
        <v>507723</v>
      </c>
      <c r="C71" s="167">
        <v>394375</v>
      </c>
      <c r="D71" s="49">
        <f>INDEX(Parameters!$D$79:$D$90,MATCH(Inputs!A71,Parameters!$C$79:$C$90,0))</f>
        <v>2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4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171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172</v>
      </c>
      <c r="B80" s="168" t="s">
        <v>173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174</v>
      </c>
      <c r="B81" s="161">
        <v>3000000</v>
      </c>
    </row>
    <row r="82" spans="1:48">
      <c r="A82" t="s">
        <v>175</v>
      </c>
      <c r="B82" s="161">
        <v>20</v>
      </c>
    </row>
    <row r="83" spans="1:48">
      <c r="A83" t="s">
        <v>176</v>
      </c>
      <c r="B83" s="169" t="s">
        <v>177</v>
      </c>
    </row>
    <row r="84" spans="1:48">
      <c r="A84" t="s">
        <v>178</v>
      </c>
      <c r="B84" s="169">
        <v>1</v>
      </c>
    </row>
    <row r="85" spans="1:48">
      <c r="A85" t="s">
        <v>179</v>
      </c>
      <c r="B85" s="169">
        <v>36</v>
      </c>
    </row>
    <row r="86" spans="1:48">
      <c r="A86" t="s">
        <v>180</v>
      </c>
      <c r="B86" s="161"/>
    </row>
    <row r="87" spans="1:48">
      <c r="A87" t="s">
        <v>181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182</v>
      </c>
      <c r="C3" s="15" t="s">
        <v>183</v>
      </c>
      <c r="D3" s="15" t="s">
        <v>184</v>
      </c>
      <c r="E3" s="15" t="s">
        <v>185</v>
      </c>
      <c r="F3" s="15" t="s">
        <v>186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5" t="s">
        <v>196</v>
      </c>
      <c r="Q3" s="32" t="s">
        <v>197</v>
      </c>
      <c r="R3" s="15" t="s">
        <v>198</v>
      </c>
      <c r="S3" s="15" t="s">
        <v>199</v>
      </c>
      <c r="T3" s="15" t="s">
        <v>200</v>
      </c>
      <c r="U3" s="178" t="s">
        <v>87</v>
      </c>
      <c r="V3" s="32" t="s">
        <v>201</v>
      </c>
      <c r="W3" s="32" t="s">
        <v>202</v>
      </c>
      <c r="X3" s="32" t="s">
        <v>203</v>
      </c>
      <c r="Y3" s="32" t="s">
        <v>204</v>
      </c>
      <c r="Z3" s="32" t="s">
        <v>43</v>
      </c>
      <c r="AA3" s="32" t="s">
        <v>205</v>
      </c>
      <c r="AB3" s="32" t="s">
        <v>206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1537.164128720061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26324.79242439875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19000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42979</v>
      </c>
      <c r="C6" s="39">
        <f>IFERROR(DATE(YEAR(B6),MONTH(B6)+ROUND(T6/2,0),DAY(B6)),B6)</f>
        <v>42979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11500</v>
      </c>
      <c r="M6" s="30">
        <f>L6*H6</f>
        <v>11500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229425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11875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42948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200000</v>
      </c>
      <c r="M7" s="30">
        <f>L7*H7</f>
        <v>200000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60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11400000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Tomatoes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42948</v>
      </c>
      <c r="C8" s="40">
        <f>IFERROR(DATE(YEAR(B8),MONTH(B8)+ROUND(T8/2,0),DAY(B8)),B8)</f>
        <v>43009</v>
      </c>
      <c r="D8" s="40">
        <f>IFERROR(DATE(YEAR(B8),MONTH(B8)+T8,DAY(B8)),"")</f>
        <v>43040</v>
      </c>
      <c r="E8" s="40">
        <f>IFERROR(IF($S8=0,"",IF($S8=2,DATE(YEAR(B8),MONTH(B8)+6,DAY(B8)),IF($S8=1,B8,""))),"")</f>
        <v>43132</v>
      </c>
      <c r="F8" s="40">
        <f>IFERROR(IF($S8=0,"",IF($S8=2,DATE(YEAR(C8),MONTH(C8)+6,DAY(C8)),IF($S8=1,C8,""))),"")</f>
        <v>43191</v>
      </c>
      <c r="G8" s="40">
        <f>IFERROR(IF($S8=0,"",IF($S8=2,DATE(YEAR(D8),MONTH(D8)+6,DAY(D8)),IF($S8=1,D8,""))),"")</f>
        <v>43221</v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120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5056.15387098665</v>
      </c>
      <c r="M8" s="31">
        <f>L8*H8</f>
        <v>5056.15387098665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35</v>
      </c>
      <c r="P8" s="24">
        <f>IFERROR(INDEX(Parameters!$A$3:$V$17,MATCH(Calculations!$A8,Parameters!$A$3:$A$17,0),MATCH($P$3,Parameters!$A$3:$V$3,0)),0)</f>
        <v>0</v>
      </c>
      <c r="Q8" s="35">
        <f>IFERROR(M8*O8*(1-N8)*MAX(S8,1),0)</f>
        <v>336234.2324206122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3</v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750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4500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33250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207</v>
      </c>
      <c r="D13" s="15" t="s">
        <v>208</v>
      </c>
      <c r="E13" s="15" t="s">
        <v>209</v>
      </c>
      <c r="F13" s="15" t="s">
        <v>210</v>
      </c>
      <c r="G13" s="15" t="s">
        <v>211</v>
      </c>
      <c r="H13" s="15" t="s">
        <v>212</v>
      </c>
      <c r="I13" s="15" t="s">
        <v>213</v>
      </c>
      <c r="J13" s="15" t="s">
        <v>214</v>
      </c>
      <c r="K13" s="15" t="s">
        <v>215</v>
      </c>
      <c r="L13" s="15" t="s">
        <v>216</v>
      </c>
      <c r="M13" s="178" t="s">
        <v>217</v>
      </c>
      <c r="N13" s="178" t="s">
        <v>218</v>
      </c>
      <c r="O13" s="62" t="s">
        <v>219</v>
      </c>
      <c r="P13" s="62" t="s">
        <v>220</v>
      </c>
      <c r="Q13" s="62" t="s">
        <v>221</v>
      </c>
      <c r="R13" s="62" t="s">
        <v>222</v>
      </c>
      <c r="S13" s="62" t="s">
        <v>223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70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11500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224</v>
      </c>
      <c r="C22" s="74" t="s">
        <v>225</v>
      </c>
      <c r="D22" s="74" t="s">
        <v>226</v>
      </c>
      <c r="E22" s="74" t="s">
        <v>227</v>
      </c>
    </row>
    <row r="23" spans="1:52">
      <c r="A23" s="75">
        <f>Inputs!A56</f>
        <v>2500000</v>
      </c>
      <c r="B23" s="75">
        <f>SUM(C23:D23)</f>
        <v>31832.27338546192</v>
      </c>
      <c r="C23" s="75">
        <f>IF(Inputs!B56&gt;0,(Inputs!A56-Inputs!B56)/(DATE(YEAR(Inputs!$B$76),MONTH(Inputs!$B$76),DAY(Inputs!$B$76))-DATE(YEAR(Inputs!C56),MONTH(Inputs!C56),DAY(Inputs!C56)))*30,0)</f>
        <v>-14001.05994787142</v>
      </c>
      <c r="D23" s="75">
        <f>IF(Inputs!B56&gt;0,Inputs!A56*0.22/12,0)</f>
        <v>45833.33333333334</v>
      </c>
      <c r="E23" s="75">
        <f>IFERROR(ROUNDUP(Inputs!B56/C23,0),0)</f>
        <v>-102</v>
      </c>
    </row>
    <row r="24" spans="1:52">
      <c r="A24" s="46">
        <f>Inputs!A57</f>
        <v>31173</v>
      </c>
      <c r="B24" s="46">
        <f>SUM(C24:D24)</f>
        <v>571.505</v>
      </c>
      <c r="C24" s="46">
        <f>IF(Inputs!B57&gt;0,(Inputs!A57-Inputs!B57)/(DATE(YEAR(Inputs!$B$76),MONTH(Inputs!$B$76),DAY(Inputs!$B$76))-DATE(YEAR(Inputs!C57),MONTH(Inputs!C57),DAY(Inputs!C57)))*30,0)</f>
        <v>-0</v>
      </c>
      <c r="D24" s="46">
        <f>IF(Inputs!B57&gt;0,Inputs!A57*0.22/12,0)</f>
        <v>571.505</v>
      </c>
      <c r="E24" s="46">
        <f>IFERROR(ROUNDUP(Inputs!B57/B24,0),0)</f>
        <v>55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229</v>
      </c>
      <c r="B32" s="129" t="s">
        <v>230</v>
      </c>
      <c r="C32" s="129" t="s">
        <v>231</v>
      </c>
      <c r="D32" s="129" t="s">
        <v>232</v>
      </c>
      <c r="F32" s="132" t="s">
        <v>233</v>
      </c>
      <c r="G32" s="132" t="s">
        <v>234</v>
      </c>
      <c r="I32" s="174" t="s">
        <v>235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42989</v>
      </c>
      <c r="C33" s="27">
        <f>IF(B33&lt;&gt;"",IF(COUNT($A$33:A33)&lt;=$G$39,0,$G$41)+IF(COUNT($A$33:A33)&lt;=$G$40,0,$G$42),0)</f>
        <v>133333.3333333333</v>
      </c>
      <c r="D33" s="170">
        <f>IFERROR(DATE(YEAR(B33),MONTH(B33),1)," ")</f>
        <v>42979</v>
      </c>
      <c r="F33" t="s">
        <v>170</v>
      </c>
      <c r="G33" s="128">
        <f>IF(Inputs!B79="","",DATE(YEAR(Inputs!B79),MONTH(Inputs!B79),DAY(Inputs!B79)))</f>
        <v>42950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43019</v>
      </c>
      <c r="C34" s="27">
        <f>IF(B34&lt;&gt;"",IF(COUNT($A$33:A34)&lt;=$G$39,0,$G$41)+IF(COUNT($A$33:A34)&lt;=$G$40,0,$G$42),0)</f>
        <v>133333.3333333333</v>
      </c>
      <c r="D34" s="170">
        <f>IFERROR(DATE(YEAR(B34),MONTH(B34),1)," ")</f>
        <v>43009</v>
      </c>
      <c r="F34" t="s">
        <v>172</v>
      </c>
      <c r="G34" s="128">
        <f>IF(Inputs!B80="","",DATE(YEAR(Inputs!B80),MONTH(Inputs!B80),DAY(Inputs!B80)))</f>
        <v>42989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43050</v>
      </c>
      <c r="C35" s="27">
        <f>IF(B35&lt;&gt;"",IF(COUNT($A$33:A35)&lt;=$G$39,0,$G$41)+IF(COUNT($A$33:A35)&lt;=$G$40,0,$G$42),0)</f>
        <v>133333.3333333333</v>
      </c>
      <c r="D35" s="170">
        <f>IFERROR(DATE(YEAR(B35),MONTH(B35),1)," ")</f>
        <v>43040</v>
      </c>
      <c r="F35" t="s">
        <v>174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43080</v>
      </c>
      <c r="C36" s="27">
        <f>IF(B36&lt;&gt;"",IF(COUNT($A$33:A36)&lt;=$G$39,0,$G$41)+IF(COUNT($A$33:A36)&lt;=$G$40,0,$G$42),0)</f>
        <v>133333.3333333333</v>
      </c>
      <c r="D36" s="170">
        <f>IFERROR(DATE(YEAR(B36),MONTH(B36),1)," ")</f>
        <v>43070</v>
      </c>
      <c r="F36" t="s">
        <v>175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43111</v>
      </c>
      <c r="C37" s="27">
        <f>IF(B37&lt;&gt;"",IF(COUNT($A$33:A37)&lt;=$G$39,0,$G$41)+IF(COUNT($A$33:A37)&lt;=$G$40,0,$G$42),0)</f>
        <v>133333.3333333333</v>
      </c>
      <c r="D37" s="170">
        <f>IFERROR(DATE(YEAR(B37),MONTH(B37),1)," ")</f>
        <v>43101</v>
      </c>
      <c r="F37" t="s">
        <v>236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43142</v>
      </c>
      <c r="C38" s="27">
        <f>IF(B38&lt;&gt;"",IF(COUNT($A$33:A38)&lt;=$G$39,0,$G$41)+IF(COUNT($A$33:A38)&lt;=$G$40,0,$G$42),0)</f>
        <v>133333.3333333333</v>
      </c>
      <c r="D38" s="170">
        <f>IFERROR(DATE(YEAR(B38),MONTH(B38),1)," ")</f>
        <v>43132</v>
      </c>
      <c r="F38" t="s">
        <v>237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43170</v>
      </c>
      <c r="C39" s="27">
        <f>IF(B39&lt;&gt;"",IF(COUNT($A$33:A39)&lt;=$G$39,0,$G$41)+IF(COUNT($A$33:A39)&lt;=$G$40,0,$G$42),0)</f>
        <v>133333.3333333333</v>
      </c>
      <c r="D39" s="170">
        <f>IFERROR(DATE(YEAR(B39),MONTH(B39),1)," ")</f>
        <v>43160</v>
      </c>
      <c r="F39" t="s">
        <v>180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43201</v>
      </c>
      <c r="C40" s="27">
        <f>IF(B40&lt;&gt;"",IF(COUNT($A$33:A40)&lt;=$G$39,0,$G$41)+IF(COUNT($A$33:A40)&lt;=$G$40,0,$G$42),0)</f>
        <v>133333.3333333333</v>
      </c>
      <c r="D40" s="170">
        <f>IFERROR(DATE(YEAR(B40),MONTH(B40),1)," ")</f>
        <v>43191</v>
      </c>
      <c r="F40" t="s">
        <v>181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43231</v>
      </c>
      <c r="C41" s="27">
        <f>IF(B41&lt;&gt;"",IF(COUNT($A$33:A41)&lt;=$G$39,0,$G$41)+IF(COUNT($A$33:A41)&lt;=$G$40,0,$G$42),0)</f>
        <v>133333.3333333333</v>
      </c>
      <c r="D41" s="170">
        <f>IFERROR(DATE(YEAR(B41),MONTH(B41),1)," ")</f>
        <v>43221</v>
      </c>
      <c r="F41" t="s">
        <v>238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43262</v>
      </c>
      <c r="C42" s="27">
        <f>IF(B42&lt;&gt;"",IF(COUNT($A$33:A42)&lt;=$G$39,0,$G$41)+IF(COUNT($A$33:A42)&lt;=$G$40,0,$G$42),0)</f>
        <v>133333.3333333333</v>
      </c>
      <c r="D42" s="170">
        <f>IFERROR(DATE(YEAR(B42),MONTH(B42),1)," ")</f>
        <v>43252</v>
      </c>
      <c r="F42" t="s">
        <v>239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43292</v>
      </c>
      <c r="C43" s="27">
        <f>IF(B43&lt;&gt;"",IF(COUNT($A$33:A43)&lt;=$G$39,0,$G$41)+IF(COUNT($A$33:A43)&lt;=$G$40,0,$G$42),0)</f>
        <v>133333.3333333333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43323</v>
      </c>
      <c r="C44" s="27">
        <f>IF(B44&lt;&gt;"",IF(COUNT($A$33:A44)&lt;=$G$39,0,$G$41)+IF(COUNT($A$33:A44)&lt;=$G$40,0,$G$42),0)</f>
        <v>133333.3333333333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43354</v>
      </c>
      <c r="C45" s="27">
        <f>IF(B45&lt;&gt;"",IF(COUNT($A$33:A45)&lt;=$G$39,0,$G$41)+IF(COUNT($A$33:A45)&lt;=$G$40,0,$G$42),0)</f>
        <v>133333.3333333333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43384</v>
      </c>
      <c r="C46" s="27">
        <f>IF(B46&lt;&gt;"",IF(COUNT($A$33:A46)&lt;=$G$39,0,$G$41)+IF(COUNT($A$33:A46)&lt;=$G$40,0,$G$42),0)</f>
        <v>133333.3333333333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43415</v>
      </c>
      <c r="C47" s="27">
        <f>IF(B47&lt;&gt;"",IF(COUNT($A$33:A47)&lt;=$G$39,0,$G$41)+IF(COUNT($A$33:A47)&lt;=$G$40,0,$G$42),0)</f>
        <v>133333.3333333333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43445</v>
      </c>
      <c r="C48" s="27">
        <f>IF(B48&lt;&gt;"",IF(COUNT($A$33:A48)&lt;=$G$39,0,$G$41)+IF(COUNT($A$33:A48)&lt;=$G$40,0,$G$42),0)</f>
        <v>133333.3333333333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43476</v>
      </c>
      <c r="C49" s="27">
        <f>IF(B49&lt;&gt;"",IF(COUNT($A$33:A49)&lt;=$G$39,0,$G$41)+IF(COUNT($A$33:A49)&lt;=$G$40,0,$G$42),0)</f>
        <v>133333.3333333333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43507</v>
      </c>
      <c r="C50" s="27">
        <f>IF(B50&lt;&gt;"",IF(COUNT($A$33:A50)&lt;=$G$39,0,$G$41)+IF(COUNT($A$33:A50)&lt;=$G$40,0,$G$42),0)</f>
        <v>133333.3333333333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43535</v>
      </c>
      <c r="C51" s="27">
        <f>IF(B51&lt;&gt;"",IF(COUNT($A$33:A51)&lt;=$G$39,0,$G$41)+IF(COUNT($A$33:A51)&lt;=$G$40,0,$G$42),0)</f>
        <v>133333.3333333333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43566</v>
      </c>
      <c r="C52" s="27">
        <f>IF(B52&lt;&gt;"",IF(COUNT($A$33:A52)&lt;=$G$39,0,$G$41)+IF(COUNT($A$33:A52)&lt;=$G$40,0,$G$42),0)</f>
        <v>133333.3333333333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43596</v>
      </c>
      <c r="C53" s="27">
        <f>IF(B53&lt;&gt;"",IF(COUNT($A$33:A53)&lt;=$G$39,0,$G$41)+IF(COUNT($A$33:A53)&lt;=$G$40,0,$G$42),0)</f>
        <v>133333.3333333333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43627</v>
      </c>
      <c r="C54" s="27">
        <f>IF(B54&lt;&gt;"",IF(COUNT($A$33:A54)&lt;=$G$39,0,$G$41)+IF(COUNT($A$33:A54)&lt;=$G$40,0,$G$42),0)</f>
        <v>133333.3333333333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43657</v>
      </c>
      <c r="C55" s="27">
        <f>IF(B55&lt;&gt;"",IF(COUNT($A$33:A55)&lt;=$G$39,0,$G$41)+IF(COUNT($A$33:A55)&lt;=$G$40,0,$G$42),0)</f>
        <v>133333.3333333333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43688</v>
      </c>
      <c r="C56" s="27">
        <f>IF(B56&lt;&gt;"",IF(COUNT($A$33:A56)&lt;=$G$39,0,$G$41)+IF(COUNT($A$33:A56)&lt;=$G$40,0,$G$42),0)</f>
        <v>133333.3333333333</v>
      </c>
      <c r="D56" s="170">
        <f>IFERROR(DATE(YEAR(B56),MONTH(B56),1)," ")</f>
        <v>43678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43719</v>
      </c>
      <c r="C57" s="27">
        <f>IF(B57&lt;&gt;"",IF(COUNT($A$33:A57)&lt;=$G$39,0,$G$41)+IF(COUNT($A$33:A57)&lt;=$G$40,0,$G$42),0)</f>
        <v>133333.3333333333</v>
      </c>
      <c r="D57" s="170">
        <f>IFERROR(DATE(YEAR(B57),MONTH(B57),1)," ")</f>
        <v>43709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43749</v>
      </c>
      <c r="C58" s="27">
        <f>IF(B58&lt;&gt;"",IF(COUNT($A$33:A58)&lt;=$G$39,0,$G$41)+IF(COUNT($A$33:A58)&lt;=$G$40,0,$G$42),0)</f>
        <v>133333.3333333333</v>
      </c>
      <c r="D58" s="170">
        <f>IFERROR(DATE(YEAR(B58),MONTH(B58),1)," ")</f>
        <v>43739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43780</v>
      </c>
      <c r="C59" s="27">
        <f>IF(B59&lt;&gt;"",IF(COUNT($A$33:A59)&lt;=$G$39,0,$G$41)+IF(COUNT($A$33:A59)&lt;=$G$40,0,$G$42),0)</f>
        <v>133333.3333333333</v>
      </c>
      <c r="D59" s="170">
        <f>IFERROR(DATE(YEAR(B59),MONTH(B59),1)," ")</f>
        <v>43770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43810</v>
      </c>
      <c r="C60" s="27">
        <f>IF(B60&lt;&gt;"",IF(COUNT($A$33:A60)&lt;=$G$39,0,$G$41)+IF(COUNT($A$33:A60)&lt;=$G$40,0,$G$42),0)</f>
        <v>133333.3333333333</v>
      </c>
      <c r="D60" s="170">
        <f>IFERROR(DATE(YEAR(B60),MONTH(B60),1)," ")</f>
        <v>43800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43841</v>
      </c>
      <c r="C61" s="27">
        <f>IF(B61&lt;&gt;"",IF(COUNT($A$33:A61)&lt;=$G$39,0,$G$41)+IF(COUNT($A$33:A61)&lt;=$G$40,0,$G$42),0)</f>
        <v>133333.3333333333</v>
      </c>
      <c r="D61" s="170">
        <f>IFERROR(DATE(YEAR(B61),MONTH(B61),1)," ")</f>
        <v>43831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43872</v>
      </c>
      <c r="C62" s="27">
        <f>IF(B62&lt;&gt;"",IF(COUNT($A$33:A62)&lt;=$G$39,0,$G$41)+IF(COUNT($A$33:A62)&lt;=$G$40,0,$G$42),0)</f>
        <v>133333.3333333333</v>
      </c>
      <c r="D62" s="170">
        <f>IFERROR(DATE(YEAR(B62),MONTH(B62),1)," ")</f>
        <v>43862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43901</v>
      </c>
      <c r="C63" s="27">
        <f>IF(B63&lt;&gt;"",IF(COUNT($A$33:A63)&lt;=$G$39,0,$G$41)+IF(COUNT($A$33:A63)&lt;=$G$40,0,$G$42),0)</f>
        <v>133333.3333333333</v>
      </c>
      <c r="D63" s="170">
        <f>IFERROR(DATE(YEAR(B63),MONTH(B63),1)," ")</f>
        <v>43891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43932</v>
      </c>
      <c r="C64" s="27">
        <f>IF(B64&lt;&gt;"",IF(COUNT($A$33:A64)&lt;=$G$39,0,$G$41)+IF(COUNT($A$33:A64)&lt;=$G$40,0,$G$42),0)</f>
        <v>133333.3333333333</v>
      </c>
      <c r="D64" s="170">
        <f>IFERROR(DATE(YEAR(B64),MONTH(B64),1)," ")</f>
        <v>43922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43962</v>
      </c>
      <c r="C65" s="27">
        <f>IF(B65&lt;&gt;"",IF(COUNT($A$33:A65)&lt;=$G$39,0,$G$41)+IF(COUNT($A$33:A65)&lt;=$G$40,0,$G$42),0)</f>
        <v>133333.3333333333</v>
      </c>
      <c r="D65" s="170">
        <f>IFERROR(DATE(YEAR(B65),MONTH(B65),1)," ")</f>
        <v>43952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43993</v>
      </c>
      <c r="C66" s="27">
        <f>IF(B66&lt;&gt;"",IF(COUNT($A$33:A66)&lt;=$G$39,0,$G$41)+IF(COUNT($A$33:A66)&lt;=$G$40,0,$G$42),0)</f>
        <v>133333.3333333333</v>
      </c>
      <c r="D66" s="170">
        <f>IFERROR(DATE(YEAR(B66),MONTH(B66),1)," ")</f>
        <v>43983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44023</v>
      </c>
      <c r="C67" s="27">
        <f>IF(B67&lt;&gt;"",IF(COUNT($A$33:A67)&lt;=$G$39,0,$G$41)+IF(COUNT($A$33:A67)&lt;=$G$40,0,$G$42),0)</f>
        <v>133333.3333333333</v>
      </c>
      <c r="D67" s="170">
        <f>IFERROR(DATE(YEAR(B67),MONTH(B67),1)," ")</f>
        <v>44013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44054</v>
      </c>
      <c r="C68" s="27">
        <f>IF(B68&lt;&gt;"",IF(COUNT($A$33:A68)&lt;=$G$39,0,$G$41)+IF(COUNT($A$33:A68)&lt;=$G$40,0,$G$42),0)</f>
        <v>133333.3333333333</v>
      </c>
      <c r="D68" s="170">
        <f>IFERROR(DATE(YEAR(B68),MONTH(B68),1)," ")</f>
        <v>44044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240</v>
      </c>
      <c r="C3" s="10" t="s">
        <v>241</v>
      </c>
      <c r="D3" s="10" t="s">
        <v>242</v>
      </c>
      <c r="E3" s="10" t="s">
        <v>243</v>
      </c>
      <c r="F3" s="10" t="s">
        <v>244</v>
      </c>
      <c r="G3" s="10" t="s">
        <v>245</v>
      </c>
      <c r="H3" s="10" t="s">
        <v>246</v>
      </c>
      <c r="I3" s="10" t="s">
        <v>247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253</v>
      </c>
      <c r="P3" s="10" t="s">
        <v>254</v>
      </c>
      <c r="Q3" s="10" t="s">
        <v>255</v>
      </c>
      <c r="R3" s="10" t="s">
        <v>256</v>
      </c>
      <c r="S3" s="10" t="s">
        <v>257</v>
      </c>
      <c r="T3" s="10" t="s">
        <v>258</v>
      </c>
      <c r="U3" s="10" t="s">
        <v>198</v>
      </c>
      <c r="V3" s="10" t="s">
        <v>196</v>
      </c>
      <c r="W3" s="10" t="s">
        <v>259</v>
      </c>
      <c r="X3" s="10" t="s">
        <v>260</v>
      </c>
      <c r="Y3" s="10" t="s">
        <v>261</v>
      </c>
      <c r="Z3" s="10" t="s">
        <v>262</v>
      </c>
      <c r="AA3" s="10" t="s">
        <v>263</v>
      </c>
      <c r="AB3" s="10" t="s">
        <v>264</v>
      </c>
      <c r="AC3" s="10" t="s">
        <v>265</v>
      </c>
      <c r="AD3" s="10" t="s">
        <v>266</v>
      </c>
      <c r="AE3" s="10" t="s">
        <v>267</v>
      </c>
      <c r="AF3" s="10" t="s">
        <v>268</v>
      </c>
      <c r="AG3" s="10" t="s">
        <v>269</v>
      </c>
      <c r="AH3" s="10" t="s">
        <v>270</v>
      </c>
      <c r="AI3" s="10" t="s">
        <v>271</v>
      </c>
    </row>
    <row r="4" spans="1:36" s="93" customFormat="1">
      <c r="A4" s="93" t="s">
        <v>97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101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212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117</v>
      </c>
      <c r="B27" s="71" t="s">
        <v>304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115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103</v>
      </c>
      <c r="B41" s="191" t="s">
        <v>319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117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135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240</v>
      </c>
      <c r="E53" s="10" t="s">
        <v>199</v>
      </c>
      <c r="F53" s="10" t="s">
        <v>259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319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319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319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319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319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319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319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177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236</v>
      </c>
      <c r="J76" s="11" t="s">
        <v>355</v>
      </c>
      <c r="K76" s="11" t="s">
        <v>189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319</v>
      </c>
      <c r="F77" s="12" t="s">
        <v>319</v>
      </c>
      <c r="G77" s="12" t="s">
        <v>357</v>
      </c>
      <c r="H77" s="12" t="s">
        <v>135</v>
      </c>
      <c r="I77" s="12" t="s">
        <v>358</v>
      </c>
      <c r="J77" s="136" t="s">
        <v>359</v>
      </c>
      <c r="K77" s="12" t="s">
        <v>319</v>
      </c>
      <c r="AJ77" s="12"/>
    </row>
    <row r="78" spans="1:36">
      <c r="A78" t="s">
        <v>319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116</v>
      </c>
      <c r="H78" s="12" t="s">
        <v>322</v>
      </c>
      <c r="I78" s="12" t="s">
        <v>363</v>
      </c>
      <c r="J78" s="70" t="s">
        <v>364</v>
      </c>
      <c r="K78" s="12" t="s">
        <v>319</v>
      </c>
      <c r="AJ78" s="12"/>
    </row>
    <row r="79" spans="1:36">
      <c r="B79" s="176">
        <v>10</v>
      </c>
      <c r="C79" s="12" t="s">
        <v>365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177</v>
      </c>
      <c r="J79" s="70" t="s">
        <v>369</v>
      </c>
      <c r="K79" s="12" t="s">
        <v>319</v>
      </c>
      <c r="AJ79" s="12"/>
    </row>
    <row r="80" spans="1:36">
      <c r="B80" s="176">
        <v>20</v>
      </c>
      <c r="C80" s="12" t="s">
        <v>164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162</v>
      </c>
      <c r="D82" s="12">
        <f>D81+1</f>
        <v>4</v>
      </c>
      <c r="J82" s="70"/>
    </row>
    <row r="83" spans="1:36">
      <c r="B83" s="176">
        <v>50</v>
      </c>
      <c r="C83" s="12" t="s">
        <v>161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159</v>
      </c>
      <c r="D85" s="12">
        <f>D84+1</f>
        <v>7</v>
      </c>
    </row>
    <row r="86" spans="1:36">
      <c r="B86" s="176">
        <v>80</v>
      </c>
      <c r="C86" s="12" t="s">
        <v>100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