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<sst xmlns="http://schemas.openxmlformats.org/spreadsheetml/2006/main" uniqueCount="372">
  <si>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</si>
  <si>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</si>
  <si>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</si>
  <si>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</si>
  <si>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</si>
  <si>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</si>
  <si>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</si>
  <si>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</si>
  <si>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</si>
  <si>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</si>
  <si>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</si>
  <si>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</si>
  <si>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</si>
  <si>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</si>
  <si>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</si>
  <si>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</si>
  <si>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</si>
  <si>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</si>
  <si>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</si>
  <si>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</si>
  <si>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</si>
  <si>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</si>
  <si>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</si>
  <si>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</si>
  <si>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</si>
  <si>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</si>
  <si>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</si>
  <si>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</si>
  <si>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</si>
  <si>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</si>
  <si>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</si>
  <si>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</si>
  <si>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</si>
  <si>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</si>
  <si>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</si>
  <si>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</si>
  <si>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</si>
  <si>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</si>
  <si>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</si>
  <si>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</si>
  <si>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</si>
  <si>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</si>
  <si>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</si>
  <si>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</si>
  <si>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</si>
  <si>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</si>
  <si>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</si>
  <si>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</si>
  <si>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</si>
  <si>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</si>
  <si>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</si>
  <si>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</si>
  <si>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</si>
  <si>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</si>
  <si>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</si>
  <si>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</si>
  <si>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</si>
  <si>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</si>
  <si>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</si>
  <si>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</si>
  <si>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</si>
  <si>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</si>
  <si>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</si>
  <si>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</si>
  <si>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</si>
  <si>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</si>
  <si>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</si>
  <si>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</si>
  <si>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</si>
  <si>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</si>
  <si>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</si>
  <si>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</si>
  <si>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</si>
  <si>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</si>
  <si>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</si>
  <si>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</si>
  <si>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</si>
  <si>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</si>
  <si>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</si>
  <si>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</si>
  <si>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</si>
  <si>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</si>
  <si>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</si>
  <si>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</si>
  <si>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</si>
  <si>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</si>
  <si>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</si>
  <si>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</si>
  <si>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</si>
  <si>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</si>
  <si>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</si>
  <si>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No</t>
  </si>
  <si>
    <t>Yes using a diesel pump</t>
  </si>
  <si>
    <t>January</t>
  </si>
  <si>
    <t>Cabbages</t>
  </si>
  <si>
    <t>Tea</t>
  </si>
  <si>
    <t>Yes without the use of a pump</t>
  </si>
  <si>
    <t>Coffee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</si>
  <si>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</si>
  <si>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</si>
  <si>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</si>
  <si>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</si>
  <si>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</si>
  <si>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</si>
  <si>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</si>
  <si>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</si>
  <si>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</si>
  <si>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</si>
  <si>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</si>
  <si>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</si>
  <si>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</si>
  <si>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</si>
  <si>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</si>
  <si>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</si>
  <si>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</si>
  <si>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</si>
  <si>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</si>
  <si>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</si>
  <si>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Saloan and Mpesa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</si>
  <si>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</si>
  <si>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</si>
  <si>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</si>
  <si>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</si>
  <si>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</si>
  <si>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</si>
  <si>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</si>
  <si>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</si>
  <si>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</si>
  <si>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</si>
  <si>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</si>
  <si>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</si>
  <si>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</si>
  <si>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</si>
  <si>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</si>
  <si>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</si>
  <si>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</si>
  <si>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</si>
  <si>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</si>
  <si>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</si>
  <si>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</si>
  <si>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</si>
  <si>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</si>
  <si>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</si>
  <si>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</si>
  <si>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</si>
  <si>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</si>
  <si>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7/15/2017</t>
  </si>
  <si>
    <t>mshwari</t>
  </si>
  <si>
    <t>to be paid by end month</t>
  </si>
  <si>
    <t>8/5/2016</t>
  </si>
  <si>
    <t>kcb</t>
  </si>
  <si>
    <t xml:space="preserve">Check-off loan 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</si>
  <si>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</si>
  <si>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</si>
  <si>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</si>
  <si>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</si>
  <si>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</si>
  <si>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</si>
  <si>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</si>
  <si>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</si>
  <si>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</si>
  <si>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</si>
  <si>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</si>
  <si>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2017/8/1</t>
  </si>
  <si>
    <t>Loan terms</t>
  </si>
  <si>
    <t>Expected disbursement date</t>
  </si>
  <si>
    <t>2017/8/15</t>
  </si>
  <si>
    <t>Expected first repayment date</t>
  </si>
  <si>
    <t>2017/9/15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</si>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</sst>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Cabbages, Tea, Coffee,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Saloan and Mpesa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0.4582775679339988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0.03882706766917293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235455.617805586</v>
      </c>
    </row>
    <row r="18" spans="1:7">
      <c r="B18" s="1" t="s">
        <v>12</v>
      </c>
      <c r="C18" s="36">
        <f>MIN(Output!B6:M6)</f>
        <v>214.8131433543895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71812.55784858516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50100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722.1105152518212</v>
      </c>
      <c r="C6" s="51">
        <f>C30-C88</f>
        <v>214.8131433543895</v>
      </c>
      <c r="D6" s="51">
        <f>D30-D88</f>
        <v>65215.22451525183</v>
      </c>
      <c r="E6" s="51">
        <f>E30-E88</f>
        <v>6266.907887149253</v>
      </c>
      <c r="F6" s="51">
        <f>F30-F88</f>
        <v>1800.556573097972</v>
      </c>
      <c r="G6" s="51">
        <f>G30-G88</f>
        <v>41074.38990643131</v>
      </c>
      <c r="H6" s="51">
        <f>H30-H88</f>
        <v>8080.389906431308</v>
      </c>
      <c r="I6" s="51">
        <f>I30-I88</f>
        <v>7826.741220482589</v>
      </c>
      <c r="J6" s="51">
        <f>J30-J88</f>
        <v>71812.55784858516</v>
      </c>
      <c r="K6" s="51">
        <f>K30-K88</f>
        <v>11849.64647668773</v>
      </c>
      <c r="L6" s="51">
        <f>L30-L88</f>
        <v>13117.88990643131</v>
      </c>
      <c r="M6" s="51">
        <f>M30-M88</f>
        <v>7474.389906431308</v>
      </c>
      <c r="N6" s="51">
        <f>N30-N88</f>
        <v>7319.443848585157</v>
      </c>
      <c r="O6" s="51">
        <f>O30-O88</f>
        <v>6812.146476687725</v>
      </c>
      <c r="P6" s="51">
        <f>P30-P88</f>
        <v>71812.55784858516</v>
      </c>
      <c r="Q6" s="51">
        <f>Q30-Q88</f>
        <v>12864.24122048259</v>
      </c>
      <c r="R6" s="51">
        <f>R30-R88</f>
        <v>13117.88990643131</v>
      </c>
      <c r="S6" s="51">
        <f>S30-S88</f>
        <v>41074.38990643131</v>
      </c>
      <c r="T6" s="51">
        <f>T30-T88</f>
        <v>8080.389906431308</v>
      </c>
      <c r="U6" s="51">
        <f>U30-U88</f>
        <v>7826.741220482589</v>
      </c>
      <c r="V6" s="51">
        <f>V30-V88</f>
        <v>71812.55784858516</v>
      </c>
      <c r="W6" s="51">
        <f>W30-W88</f>
        <v>11849.64647668773</v>
      </c>
      <c r="X6" s="51">
        <f>X30-X88</f>
        <v>13117.88990643131</v>
      </c>
      <c r="Y6" s="51">
        <f>Y30-Y88</f>
        <v>7474.389906431308</v>
      </c>
      <c r="Z6" s="51">
        <f>SUMIF($B$13:$Y$13,"Yes",B6:Y6)</f>
        <v>242775.0616541711</v>
      </c>
      <c r="AA6" s="51">
        <f>AA30-AA88</f>
        <v>235455.617805586</v>
      </c>
      <c r="AB6" s="51">
        <f>AB30-AB88</f>
        <v>508617.902277839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560412</v>
      </c>
      <c r="H7" s="80">
        <f>IF(ISERROR(VLOOKUP(MONTH(H5),Inputs!$D$66:$D$71,1,0)),"",INDEX(Inputs!$B$66:$B$71,MATCH(MONTH(Output!H5),Inputs!$D$66:$D$71,0))-INDEX(Inputs!$C$66:$C$71,MATCH(MONTH(Output!H5),Inputs!$D$66:$D$71,0)))</f>
        <v>13920</v>
      </c>
      <c r="I7" s="80">
        <f>IF(ISERROR(VLOOKUP(MONTH(I5),Inputs!$D$66:$D$71,1,0)),"",INDEX(Inputs!$B$66:$B$71,MATCH(MONTH(Output!I5),Inputs!$D$66:$D$71,0))-INDEX(Inputs!$C$66:$C$71,MATCH(MONTH(Output!I5),Inputs!$D$66:$D$71,0)))</f>
        <v>25030</v>
      </c>
      <c r="J7" s="80">
        <f>IF(ISERROR(VLOOKUP(MONTH(J5),Inputs!$D$66:$D$71,1,0)),"",INDEX(Inputs!$B$66:$B$71,MATCH(MONTH(Output!J5),Inputs!$D$66:$D$71,0))-INDEX(Inputs!$C$66:$C$71,MATCH(MONTH(Output!J5),Inputs!$D$66:$D$71,0)))</f>
        <v>11450</v>
      </c>
      <c r="K7" s="80">
        <f>IF(ISERROR(VLOOKUP(MONTH(K5),Inputs!$D$66:$D$71,1,0)),"",INDEX(Inputs!$B$66:$B$71,MATCH(MONTH(Output!K5),Inputs!$D$66:$D$71,0))-INDEX(Inputs!$C$66:$C$71,MATCH(MONTH(Output!K5),Inputs!$D$66:$D$71,0)))</f>
        <v>20035</v>
      </c>
      <c r="L7" s="80">
        <f>IF(ISERROR(VLOOKUP(MONTH(L5),Inputs!$D$66:$D$71,1,0)),"",INDEX(Inputs!$B$66:$B$71,MATCH(MONTH(Output!L5),Inputs!$D$66:$D$71,0))-INDEX(Inputs!$C$66:$C$71,MATCH(MONTH(Output!L5),Inputs!$D$66:$D$71,0)))</f>
        <v>14390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560412</v>
      </c>
      <c r="T7" s="80">
        <f>IF(ISERROR(VLOOKUP(MONTH(T5),Inputs!$D$66:$D$71,1,0)),"",INDEX(Inputs!$B$66:$B$71,MATCH(MONTH(Output!T5),Inputs!$D$66:$D$71,0))-INDEX(Inputs!$C$66:$C$71,MATCH(MONTH(Output!T5),Inputs!$D$66:$D$71,0)))</f>
        <v>13920</v>
      </c>
      <c r="U7" s="80">
        <f>IF(ISERROR(VLOOKUP(MONTH(U5),Inputs!$D$66:$D$71,1,0)),"",INDEX(Inputs!$B$66:$B$71,MATCH(MONTH(Output!U5),Inputs!$D$66:$D$71,0))-INDEX(Inputs!$C$66:$C$71,MATCH(MONTH(Output!U5),Inputs!$D$66:$D$71,0)))</f>
        <v>25030</v>
      </c>
      <c r="V7" s="80">
        <f>IF(ISERROR(VLOOKUP(MONTH(V5),Inputs!$D$66:$D$71,1,0)),"",INDEX(Inputs!$B$66:$B$71,MATCH(MONTH(Output!V5),Inputs!$D$66:$D$71,0))-INDEX(Inputs!$C$66:$C$71,MATCH(MONTH(Output!V5),Inputs!$D$66:$D$71,0)))</f>
        <v>11450</v>
      </c>
      <c r="W7" s="80">
        <f>IF(ISERROR(VLOOKUP(MONTH(W5),Inputs!$D$66:$D$71,1,0)),"",INDEX(Inputs!$B$66:$B$71,MATCH(MONTH(Output!W5),Inputs!$D$66:$D$71,0))-INDEX(Inputs!$C$66:$C$71,MATCH(MONTH(Output!W5),Inputs!$D$66:$D$71,0)))</f>
        <v>20035</v>
      </c>
      <c r="X7" s="80">
        <f>IF(ISERROR(VLOOKUP(MONTH(X5),Inputs!$D$66:$D$71,1,0)),"",INDEX(Inputs!$B$66:$B$71,MATCH(MONTH(Output!X5),Inputs!$D$66:$D$71,0))-INDEX(Inputs!$C$66:$C$71,MATCH(MONTH(Output!X5),Inputs!$D$66:$D$71,0)))</f>
        <v>14390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150722.1105152518</v>
      </c>
      <c r="C11" s="80">
        <f>C6+C9-C10</f>
        <v>-14785.18685664561</v>
      </c>
      <c r="D11" s="80">
        <f>D6+D9-D10</f>
        <v>50215.22451525183</v>
      </c>
      <c r="E11" s="80">
        <f>E6+E9-E10</f>
        <v>-8733.092112850747</v>
      </c>
      <c r="F11" s="80">
        <f>F6+F9-F10</f>
        <v>-13199.44342690203</v>
      </c>
      <c r="G11" s="80">
        <f>G6+G9-G10</f>
        <v>26074.38990643131</v>
      </c>
      <c r="H11" s="80">
        <f>H6+H9-H10</f>
        <v>-6919.610093568692</v>
      </c>
      <c r="I11" s="80">
        <f>I6+I9-I10</f>
        <v>-7173.258779517411</v>
      </c>
      <c r="J11" s="80">
        <f>J6+J9-J10</f>
        <v>56812.55784858516</v>
      </c>
      <c r="K11" s="80">
        <f>K6+K9-K10</f>
        <v>-3150.353523312275</v>
      </c>
      <c r="L11" s="80">
        <f>L6+L9-L10</f>
        <v>-1882.110093568692</v>
      </c>
      <c r="M11" s="80">
        <f>M6+M9-M10</f>
        <v>-7525.610093568692</v>
      </c>
      <c r="N11" s="80">
        <f>N6+N9-N10</f>
        <v>-7680.556151414843</v>
      </c>
      <c r="O11" s="80">
        <f>O6+O9-O10</f>
        <v>6812.146476687725</v>
      </c>
      <c r="P11" s="80">
        <f>P6+P9-P10</f>
        <v>71812.55784858516</v>
      </c>
      <c r="Q11" s="80">
        <f>Q6+Q9-Q10</f>
        <v>12864.24122048259</v>
      </c>
      <c r="R11" s="80">
        <f>R6+R9-R10</f>
        <v>13117.88990643131</v>
      </c>
      <c r="S11" s="80">
        <f>S6+S9-S10</f>
        <v>41074.38990643131</v>
      </c>
      <c r="T11" s="80">
        <f>T6+T9-T10</f>
        <v>8080.389906431308</v>
      </c>
      <c r="U11" s="80">
        <f>U6+U9-U10</f>
        <v>7826.741220482589</v>
      </c>
      <c r="V11" s="80">
        <f>V6+V9-V10</f>
        <v>71812.55784858516</v>
      </c>
      <c r="W11" s="80">
        <f>W6+W9-W10</f>
        <v>11849.64647668773</v>
      </c>
      <c r="X11" s="80">
        <f>X6+X9-X10</f>
        <v>13117.88990643131</v>
      </c>
      <c r="Y11" s="80">
        <f>Y6+Y9-Y10</f>
        <v>7474.389906431308</v>
      </c>
      <c r="Z11" s="85">
        <f>SUMIF($B$13:$Y$13,"Yes",B11:Y11)</f>
        <v>212775.0616541711</v>
      </c>
      <c r="AA11" s="80">
        <f>SUM(B11:M11)</f>
        <v>220455.617805586</v>
      </c>
      <c r="AB11" s="46">
        <f>SUM(B11:Y11)</f>
        <v>478617.9022778387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0.09937926145843189</v>
      </c>
      <c r="D12" s="82">
        <f>IF(D13="Yes",IF(SUM($B$10:D10)/(SUM($B$6:D6)+SUM($B$9:D9))&lt;0,999.99,SUM($B$10:D10)/(SUM($B$6:D6)+SUM($B$9:D9))),"")</f>
        <v>0.1387911258502509</v>
      </c>
      <c r="E12" s="82">
        <f>IF(E13="Yes",IF(SUM($B$10:E10)/(SUM($B$6:E6)+SUM($B$9:E9))&lt;0,999.99,SUM($B$10:E10)/(SUM($B$6:E6)+SUM($B$9:E9))),"")</f>
        <v>0.2023207938966208</v>
      </c>
      <c r="F12" s="82">
        <f>IF(F13="Yes",IF(SUM($B$10:F10)/(SUM($B$6:F6)+SUM($B$9:F9))&lt;0,999.99,SUM($B$10:F10)/(SUM($B$6:F6)+SUM($B$9:F9))),"")</f>
        <v>0.2675947893011105</v>
      </c>
      <c r="G12" s="82">
        <f>IF(G13="Yes",IF(SUM($B$10:G10)/(SUM($B$6:G6)+SUM($B$9:G9))&lt;0,999.99,SUM($B$10:G10)/(SUM($B$6:G6)+SUM($B$9:G9))),"")</f>
        <v>0.2827052224391695</v>
      </c>
      <c r="H12" s="82">
        <f>IF(H13="Yes",IF(SUM($B$10:H10)/(SUM($B$6:H6)+SUM($B$9:H9))&lt;0,999.99,SUM($B$10:H10)/(SUM($B$6:H6)+SUM($B$9:H9))),"")</f>
        <v>0.3292188386571693</v>
      </c>
      <c r="I12" s="82">
        <f>IF(I13="Yes",IF(SUM($B$10:I10)/(SUM($B$6:I6)+SUM($B$9:I9))&lt;0,999.99,SUM($B$10:I10)/(SUM($B$6:I6)+SUM($B$9:I9))),"")</f>
        <v>0.3733982101372798</v>
      </c>
      <c r="J12" s="82">
        <f>IF(J13="Yes",IF(SUM($B$10:J10)/(SUM($B$6:J6)+SUM($B$9:J9))&lt;0,999.99,SUM($B$10:J10)/(SUM($B$6:J6)+SUM($B$9:J9))),"")</f>
        <v>0.3399301581892016</v>
      </c>
      <c r="K12" s="82">
        <f>IF(K13="Yes",IF(SUM($B$10:K10)/(SUM($B$6:K6)+SUM($B$9:K9))&lt;0,999.99,SUM($B$10:K10)/(SUM($B$6:K6)+SUM($B$9:K9))),"")</f>
        <v>0.3700015483679327</v>
      </c>
      <c r="L12" s="82">
        <f>IF(L13="Yes",IF(SUM($B$10:L10)/(SUM($B$6:L6)+SUM($B$9:L9))&lt;0,999.99,SUM($B$10:L10)/(SUM($B$6:L6)+SUM($B$9:L9))),"")</f>
        <v>0.3968451048050989</v>
      </c>
      <c r="M12" s="82">
        <f>IF(M13="Yes",IF(SUM($B$10:M10)/(SUM($B$6:M6)+SUM($B$9:M9))&lt;0,999.99,SUM($B$10:M10)/(SUM($B$6:M6)+SUM($B$9:M9))),"")</f>
        <v>0.4280648468411266</v>
      </c>
      <c r="N12" s="82">
        <f>IF(N13="Yes",IF(SUM($B$10:N10)/(SUM($B$6:N6)+SUM($B$9:N9))&lt;0,999.99,SUM($B$10:N10)/(SUM($B$6:N6)+SUM($B$9:N9))),"")</f>
        <v>0.4582775679339988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64493.114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64493.114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64493.114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64493.114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128986.228</v>
      </c>
      <c r="AA19" s="36">
        <f>SUM(B19:M19)</f>
        <v>128986.228</v>
      </c>
      <c r="AB19" s="36">
        <f>SUM(B19:Y19)</f>
        <v>257972.456</v>
      </c>
      <c r="AC19" s="43"/>
      <c r="AD19" s="43"/>
    </row>
    <row r="20" spans="1:30">
      <c r="A20" t="str">
        <f>IF(Calculations!A6&lt;&gt;Parameters!$A$18,IF(Calculations!A6=0,"",Calculations!A6),Inputs!B9)</f>
        <v>Tea</v>
      </c>
      <c r="B20" s="36">
        <f>N20</f>
        <v>1225</v>
      </c>
      <c r="C20" s="36">
        <f>O20</f>
        <v>1225</v>
      </c>
      <c r="D20" s="36">
        <f>P20</f>
        <v>1225</v>
      </c>
      <c r="E20" s="36">
        <f>Q20</f>
        <v>1225</v>
      </c>
      <c r="F20" s="36">
        <f>R20</f>
        <v>1225</v>
      </c>
      <c r="G20" s="36">
        <f>S20</f>
        <v>34824.99999999999</v>
      </c>
      <c r="H20" s="36">
        <f>T20</f>
        <v>1225</v>
      </c>
      <c r="I20" s="36">
        <f>U20</f>
        <v>1225</v>
      </c>
      <c r="J20" s="36">
        <f>V20</f>
        <v>1225</v>
      </c>
      <c r="K20" s="36">
        <f>W20</f>
        <v>1225</v>
      </c>
      <c r="L20" s="36">
        <f>X20</f>
        <v>1225</v>
      </c>
      <c r="M20" s="36">
        <f>Y20</f>
        <v>1225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1225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1225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1225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1225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1225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34824.99999999999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1225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1225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1225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1225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1225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1225</v>
      </c>
      <c r="Z20" s="36">
        <f>SUMIF($B$13:$Y$13,"Yes",B20:Y20)</f>
        <v>49524.99999999999</v>
      </c>
      <c r="AA20" s="36">
        <f>SUM(B20:M20)</f>
        <v>48299.99999999999</v>
      </c>
      <c r="AB20" s="36">
        <f>SUM(B20:Y20)</f>
        <v>96599.99999999999</v>
      </c>
    </row>
    <row r="21" spans="1:30">
      <c r="A21" t="str">
        <f>IF(Calculations!A7&lt;&gt;Parameters!$A$18,IF(Calculations!A7=0,"",Calculations!A7),Inputs!B10)</f>
        <v>Coffee</v>
      </c>
      <c r="B21" s="36">
        <f>N21</f>
        <v>507.2973718974358</v>
      </c>
      <c r="C21" s="36">
        <f>O21</f>
        <v>0</v>
      </c>
      <c r="D21" s="36">
        <f>P21</f>
        <v>507.2973718974358</v>
      </c>
      <c r="E21" s="36">
        <f>Q21</f>
        <v>1014.594743794872</v>
      </c>
      <c r="F21" s="36">
        <f>R21</f>
        <v>1268.24342974359</v>
      </c>
      <c r="G21" s="36">
        <f>S21</f>
        <v>1268.24342974359</v>
      </c>
      <c r="H21" s="36">
        <f>T21</f>
        <v>1268.24342974359</v>
      </c>
      <c r="I21" s="36">
        <f>U21</f>
        <v>1014.594743794872</v>
      </c>
      <c r="J21" s="36">
        <f>V21</f>
        <v>507.2973718974358</v>
      </c>
      <c r="K21" s="36">
        <f>W21</f>
        <v>0</v>
      </c>
      <c r="L21" s="36">
        <f>X21</f>
        <v>1268.24342974359</v>
      </c>
      <c r="M21" s="36">
        <f>Y21</f>
        <v>1268.24342974359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507.2973718974358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507.2973718974358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1014.594743794872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1268.24342974359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1268.24342974359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1268.24342974359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1014.594743794872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507.2973718974358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1268.24342974359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1268.24342974359</v>
      </c>
      <c r="Z21" s="36">
        <f>SUMIF($B$13:$Y$13,"Yes",B21:Y21)</f>
        <v>10399.59612389744</v>
      </c>
      <c r="AA21" s="36">
        <f>SUM(B21:M21)</f>
        <v>9892.298752000001</v>
      </c>
      <c r="AB21" s="36">
        <f>SUM(B21:Y21)</f>
        <v>19784.597504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41988.87631926586</v>
      </c>
      <c r="C30" s="19">
        <f>SUM(C18:C29)</f>
        <v>41481.57894736843</v>
      </c>
      <c r="D30" s="19">
        <f>SUM(D18:D29)</f>
        <v>106481.9903192659</v>
      </c>
      <c r="E30" s="19">
        <f>SUM(E18:E29)</f>
        <v>42496.17369116329</v>
      </c>
      <c r="F30" s="19">
        <f>SUM(F18:F29)</f>
        <v>42749.82237711201</v>
      </c>
      <c r="G30" s="19">
        <f>SUM(G18:G29)</f>
        <v>76349.82237711201</v>
      </c>
      <c r="H30" s="19">
        <f>SUM(H18:H29)</f>
        <v>42749.82237711201</v>
      </c>
      <c r="I30" s="19">
        <f>SUM(I18:I29)</f>
        <v>42496.17369116329</v>
      </c>
      <c r="J30" s="19">
        <f>SUM(J18:J29)</f>
        <v>106481.9903192659</v>
      </c>
      <c r="K30" s="19">
        <f>SUM(K18:K29)</f>
        <v>41481.57894736843</v>
      </c>
      <c r="L30" s="19">
        <f>SUM(L18:L29)</f>
        <v>42749.82237711201</v>
      </c>
      <c r="M30" s="19">
        <f>SUM(M18:M29)</f>
        <v>42749.82237711201</v>
      </c>
      <c r="N30" s="19">
        <f>SUM(N18:N29)</f>
        <v>41988.87631926586</v>
      </c>
      <c r="O30" s="19">
        <f>SUM(O18:O29)</f>
        <v>41481.57894736843</v>
      </c>
      <c r="P30" s="19">
        <f>SUM(P18:P29)</f>
        <v>106481.9903192659</v>
      </c>
      <c r="Q30" s="19">
        <f>SUM(Q18:Q29)</f>
        <v>42496.17369116329</v>
      </c>
      <c r="R30" s="19">
        <f>SUM(R18:R29)</f>
        <v>42749.82237711201</v>
      </c>
      <c r="S30" s="19">
        <f>SUM(S18:S29)</f>
        <v>76349.82237711201</v>
      </c>
      <c r="T30" s="19">
        <f>SUM(T18:T29)</f>
        <v>42749.82237711201</v>
      </c>
      <c r="U30" s="19">
        <f>SUM(U18:U29)</f>
        <v>42496.17369116329</v>
      </c>
      <c r="V30" s="19">
        <f>SUM(V18:V29)</f>
        <v>106481.9903192659</v>
      </c>
      <c r="W30" s="19">
        <f>SUM(W18:W29)</f>
        <v>41481.57894736843</v>
      </c>
      <c r="X30" s="19">
        <f>SUM(X18:X29)</f>
        <v>42749.82237711201</v>
      </c>
      <c r="Y30" s="19">
        <f>SUM(Y18:Y29)</f>
        <v>42749.82237711201</v>
      </c>
      <c r="Z30" s="19">
        <f>SUMIF($B$13:$Y$13,"Yes",B30:Y30)</f>
        <v>712246.3504396868</v>
      </c>
      <c r="AA30" s="19">
        <f>SUM(B30:M30)</f>
        <v>670257.474120421</v>
      </c>
      <c r="AB30" s="19">
        <f>SUM(B30:Y30)</f>
        <v>1340514.948240842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Tea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Coffee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606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606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606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606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606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606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606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606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Tea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Coffee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Tea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Coffee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Tea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Coffee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2000</v>
      </c>
      <c r="C60" s="36">
        <f>O60</f>
        <v>2000</v>
      </c>
      <c r="D60" s="36">
        <f>P60</f>
        <v>2000</v>
      </c>
      <c r="E60" s="36">
        <f>Q60</f>
        <v>0</v>
      </c>
      <c r="F60" s="36">
        <f>R60</f>
        <v>0</v>
      </c>
      <c r="G60" s="36">
        <f>S60</f>
        <v>2000</v>
      </c>
      <c r="H60" s="36">
        <f>T60</f>
        <v>2000</v>
      </c>
      <c r="I60" s="36">
        <f>U60</f>
        <v>2000</v>
      </c>
      <c r="J60" s="36">
        <f>V60</f>
        <v>2000</v>
      </c>
      <c r="K60" s="36">
        <f>W60</f>
        <v>0</v>
      </c>
      <c r="L60" s="36">
        <f>X60</f>
        <v>0</v>
      </c>
      <c r="M60" s="36">
        <f>Y60</f>
        <v>2000</v>
      </c>
      <c r="N60" s="46">
        <f>SUM(N61:N65)</f>
        <v>2000</v>
      </c>
      <c r="O60" s="46">
        <f>SUM(O61:O65)</f>
        <v>2000</v>
      </c>
      <c r="P60" s="46">
        <f>SUM(P61:P65)</f>
        <v>2000</v>
      </c>
      <c r="Q60" s="46">
        <f>SUM(Q61:Q65)</f>
        <v>0</v>
      </c>
      <c r="R60" s="46">
        <f>SUM(R61:R65)</f>
        <v>0</v>
      </c>
      <c r="S60" s="46">
        <f>SUM(S61:S65)</f>
        <v>2000</v>
      </c>
      <c r="T60" s="46">
        <f>SUM(T61:T65)</f>
        <v>2000</v>
      </c>
      <c r="U60" s="46">
        <f>SUM(U61:U65)</f>
        <v>2000</v>
      </c>
      <c r="V60" s="46">
        <f>SUM(V61:V65)</f>
        <v>2000</v>
      </c>
      <c r="W60" s="46">
        <f>SUM(W61:W65)</f>
        <v>0</v>
      </c>
      <c r="X60" s="46">
        <f>SUM(X61:X65)</f>
        <v>0</v>
      </c>
      <c r="Y60" s="46">
        <f>SUM(Y61:Y65)</f>
        <v>2000</v>
      </c>
      <c r="Z60" s="46">
        <f>SUMIF($B$13:$Y$13,"Yes",B60:Y60)</f>
        <v>18000</v>
      </c>
      <c r="AA60" s="46">
        <f>SUM(B60:M60)</f>
        <v>16000</v>
      </c>
      <c r="AB60" s="46">
        <f>SUM(B60:Y60)</f>
        <v>32000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2000</v>
      </c>
      <c r="C62" s="36">
        <f>O62</f>
        <v>2000</v>
      </c>
      <c r="D62" s="36">
        <f>P62</f>
        <v>2000</v>
      </c>
      <c r="E62" s="36">
        <f>Q62</f>
        <v>0</v>
      </c>
      <c r="F62" s="36">
        <f>R62</f>
        <v>0</v>
      </c>
      <c r="G62" s="36">
        <f>S62</f>
        <v>2000</v>
      </c>
      <c r="H62" s="36">
        <f>T62</f>
        <v>2000</v>
      </c>
      <c r="I62" s="36">
        <f>U62</f>
        <v>2000</v>
      </c>
      <c r="J62" s="36">
        <f>V62</f>
        <v>2000</v>
      </c>
      <c r="K62" s="36">
        <f>W62</f>
        <v>0</v>
      </c>
      <c r="L62" s="36">
        <f>X62</f>
        <v>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18000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 t="str">
        <f>Calculations!$A$6</f>
        <v>Tea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Coffee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10462.5</v>
      </c>
      <c r="C66" s="36">
        <f>O66</f>
        <v>10462.5</v>
      </c>
      <c r="D66" s="36">
        <f>P66</f>
        <v>10462.5</v>
      </c>
      <c r="E66" s="36">
        <f>Q66</f>
        <v>7425</v>
      </c>
      <c r="F66" s="36">
        <f>R66</f>
        <v>7425</v>
      </c>
      <c r="G66" s="36">
        <f>S66</f>
        <v>10462.5</v>
      </c>
      <c r="H66" s="36">
        <f>T66</f>
        <v>10462.5</v>
      </c>
      <c r="I66" s="36">
        <f>U66</f>
        <v>10462.5</v>
      </c>
      <c r="J66" s="36">
        <f>V66</f>
        <v>10462.5</v>
      </c>
      <c r="K66" s="36">
        <f>W66</f>
        <v>7425</v>
      </c>
      <c r="L66" s="36">
        <f>X66</f>
        <v>7425</v>
      </c>
      <c r="M66" s="36">
        <f>Y66</f>
        <v>10462.5</v>
      </c>
      <c r="N66" s="46">
        <f>SUM(N67:N71)</f>
        <v>10462.5</v>
      </c>
      <c r="O66" s="46">
        <f>SUM(O67:O71)</f>
        <v>10462.5</v>
      </c>
      <c r="P66" s="46">
        <f>SUM(P67:P71)</f>
        <v>10462.5</v>
      </c>
      <c r="Q66" s="46">
        <f>SUM(Q67:Q71)</f>
        <v>7425</v>
      </c>
      <c r="R66" s="46">
        <f>SUM(R67:R71)</f>
        <v>7425</v>
      </c>
      <c r="S66" s="46">
        <f>SUM(S67:S71)</f>
        <v>10462.5</v>
      </c>
      <c r="T66" s="46">
        <f>SUM(T67:T71)</f>
        <v>10462.5</v>
      </c>
      <c r="U66" s="46">
        <f>SUM(U67:U71)</f>
        <v>10462.5</v>
      </c>
      <c r="V66" s="46">
        <f>SUM(V67:V71)</f>
        <v>10462.5</v>
      </c>
      <c r="W66" s="46">
        <f>SUM(W67:W71)</f>
        <v>7425</v>
      </c>
      <c r="X66" s="46">
        <f>SUM(X67:X71)</f>
        <v>7425</v>
      </c>
      <c r="Y66" s="46">
        <f>SUM(Y67:Y71)</f>
        <v>10462.5</v>
      </c>
      <c r="Z66" s="46">
        <f>SUMIF($B$13:$Y$13,"Yes",B66:Y66)</f>
        <v>123862.5</v>
      </c>
      <c r="AA66" s="46">
        <f>SUM(B66:M66)</f>
        <v>113400</v>
      </c>
      <c r="AB66" s="46">
        <f>SUM(B66:Y66)</f>
        <v>226800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Cabbages</v>
      </c>
      <c r="B68" s="36">
        <f>N68</f>
        <v>3037.5</v>
      </c>
      <c r="C68" s="36">
        <f>O68</f>
        <v>3037.5</v>
      </c>
      <c r="D68" s="36">
        <f>P68</f>
        <v>3037.5</v>
      </c>
      <c r="E68" s="36">
        <f>Q68</f>
        <v>0</v>
      </c>
      <c r="F68" s="36">
        <f>R68</f>
        <v>0</v>
      </c>
      <c r="G68" s="36">
        <f>S68</f>
        <v>3037.5</v>
      </c>
      <c r="H68" s="36">
        <f>T68</f>
        <v>3037.5</v>
      </c>
      <c r="I68" s="36">
        <f>U68</f>
        <v>3037.5</v>
      </c>
      <c r="J68" s="36">
        <f>V68</f>
        <v>3037.5</v>
      </c>
      <c r="K68" s="36">
        <f>W68</f>
        <v>0</v>
      </c>
      <c r="L68" s="36">
        <f>X68</f>
        <v>0</v>
      </c>
      <c r="M68" s="36">
        <f>Y68</f>
        <v>3037.5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3037.5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3037.5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3037.5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3037.5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3037.5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3037.5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3037.5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3037.5</v>
      </c>
      <c r="Z68" s="46">
        <f>SUMIF($B$13:$Y$13,"Yes",B68:Y68)</f>
        <v>27337.5</v>
      </c>
      <c r="AA68" s="46">
        <f>SUM(B68:M68)</f>
        <v>24300</v>
      </c>
      <c r="AB68" s="46">
        <f>SUM(B68:Y68)</f>
        <v>48600</v>
      </c>
    </row>
    <row r="69" spans="1:30" hidden="true" outlineLevel="1">
      <c r="A69" s="181" t="str">
        <f>Calculations!$A$6</f>
        <v>Tea</v>
      </c>
      <c r="B69" s="36">
        <f>N69</f>
        <v>4050</v>
      </c>
      <c r="C69" s="36">
        <f>O69</f>
        <v>4050</v>
      </c>
      <c r="D69" s="36">
        <f>P69</f>
        <v>4050</v>
      </c>
      <c r="E69" s="36">
        <f>Q69</f>
        <v>4050</v>
      </c>
      <c r="F69" s="36">
        <f>R69</f>
        <v>4050</v>
      </c>
      <c r="G69" s="36">
        <f>S69</f>
        <v>4050</v>
      </c>
      <c r="H69" s="36">
        <f>T69</f>
        <v>4050</v>
      </c>
      <c r="I69" s="36">
        <f>U69</f>
        <v>4050</v>
      </c>
      <c r="J69" s="36">
        <f>V69</f>
        <v>4050</v>
      </c>
      <c r="K69" s="36">
        <f>W69</f>
        <v>4050</v>
      </c>
      <c r="L69" s="36">
        <f>X69</f>
        <v>4050</v>
      </c>
      <c r="M69" s="36">
        <f>Y69</f>
        <v>4050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4050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4050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4050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4050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4050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4050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4050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4050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4050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4050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4050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4050</v>
      </c>
      <c r="Z69" s="46">
        <f>SUMIF($B$13:$Y$13,"Yes",B69:Y69)</f>
        <v>52650</v>
      </c>
      <c r="AA69" s="46">
        <f>SUM(B69:M69)</f>
        <v>48600</v>
      </c>
      <c r="AB69" s="46">
        <f>SUM(B69:Y69)</f>
        <v>97200</v>
      </c>
    </row>
    <row r="70" spans="1:30" hidden="true" outlineLevel="1">
      <c r="A70" s="181" t="str">
        <f>Calculations!$A$7</f>
        <v>Coffee</v>
      </c>
      <c r="B70" s="36">
        <f>N70</f>
        <v>3375</v>
      </c>
      <c r="C70" s="36">
        <f>O70</f>
        <v>3375</v>
      </c>
      <c r="D70" s="36">
        <f>P70</f>
        <v>3375</v>
      </c>
      <c r="E70" s="36">
        <f>Q70</f>
        <v>3375</v>
      </c>
      <c r="F70" s="36">
        <f>R70</f>
        <v>3375</v>
      </c>
      <c r="G70" s="36">
        <f>S70</f>
        <v>3375</v>
      </c>
      <c r="H70" s="36">
        <f>T70</f>
        <v>3375</v>
      </c>
      <c r="I70" s="36">
        <f>U70</f>
        <v>3375</v>
      </c>
      <c r="J70" s="36">
        <f>V70</f>
        <v>3375</v>
      </c>
      <c r="K70" s="36">
        <f>W70</f>
        <v>3375</v>
      </c>
      <c r="L70" s="36">
        <f>X70</f>
        <v>3375</v>
      </c>
      <c r="M70" s="36">
        <f>Y70</f>
        <v>3375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3375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3375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3375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3375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3375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3375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3375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3375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3375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3375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3375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3375</v>
      </c>
      <c r="Z70" s="46">
        <f>SUMIF($B$13:$Y$13,"Yes",B70:Y70)</f>
        <v>43875</v>
      </c>
      <c r="AA70" s="46">
        <f>SUM(B70:M70)</f>
        <v>40500</v>
      </c>
      <c r="AB70" s="46">
        <f>SUM(B70:Y70)</f>
        <v>81000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15175.6824706807</v>
      </c>
      <c r="C81" s="46">
        <f>(SUM($AA$18:$AA$29)-SUM($AA$36,$AA$42,$AA$48,$AA$54,$AA$60,$AA$66,$AA$72:$AA$79))*Parameters!$B$37/12</f>
        <v>15175.6824706807</v>
      </c>
      <c r="D81" s="46">
        <f>(SUM($AA$18:$AA$29)-SUM($AA$36,$AA$42,$AA$48,$AA$54,$AA$60,$AA$66,$AA$72:$AA$79))*Parameters!$B$37/12</f>
        <v>15175.6824706807</v>
      </c>
      <c r="E81" s="46">
        <f>(SUM($AA$18:$AA$29)-SUM($AA$36,$AA$42,$AA$48,$AA$54,$AA$60,$AA$66,$AA$72:$AA$79))*Parameters!$B$37/12</f>
        <v>15175.6824706807</v>
      </c>
      <c r="F81" s="46">
        <f>(SUM($AA$18:$AA$29)-SUM($AA$36,$AA$42,$AA$48,$AA$54,$AA$60,$AA$66,$AA$72:$AA$79))*Parameters!$B$37/12</f>
        <v>15175.6824706807</v>
      </c>
      <c r="G81" s="46">
        <f>(SUM($AA$18:$AA$29)-SUM($AA$36,$AA$42,$AA$48,$AA$54,$AA$60,$AA$66,$AA$72:$AA$79))*Parameters!$B$37/12</f>
        <v>15175.6824706807</v>
      </c>
      <c r="H81" s="46">
        <f>(SUM($AA$18:$AA$29)-SUM($AA$36,$AA$42,$AA$48,$AA$54,$AA$60,$AA$66,$AA$72:$AA$79))*Parameters!$B$37/12</f>
        <v>15175.6824706807</v>
      </c>
      <c r="I81" s="46">
        <f>(SUM($AA$18:$AA$29)-SUM($AA$36,$AA$42,$AA$48,$AA$54,$AA$60,$AA$66,$AA$72:$AA$79))*Parameters!$B$37/12</f>
        <v>15175.6824706807</v>
      </c>
      <c r="J81" s="46">
        <f>(SUM($AA$18:$AA$29)-SUM($AA$36,$AA$42,$AA$48,$AA$54,$AA$60,$AA$66,$AA$72:$AA$79))*Parameters!$B$37/12</f>
        <v>15175.6824706807</v>
      </c>
      <c r="K81" s="46">
        <f>(SUM($AA$18:$AA$29)-SUM($AA$36,$AA$42,$AA$48,$AA$54,$AA$60,$AA$66,$AA$72:$AA$79))*Parameters!$B$37/12</f>
        <v>15175.6824706807</v>
      </c>
      <c r="L81" s="46">
        <f>(SUM($AA$18:$AA$29)-SUM($AA$36,$AA$42,$AA$48,$AA$54,$AA$60,$AA$66,$AA$72:$AA$79))*Parameters!$B$37/12</f>
        <v>15175.6824706807</v>
      </c>
      <c r="M81" s="46">
        <f>(SUM($AA$18:$AA$29)-SUM($AA$36,$AA$42,$AA$48,$AA$54,$AA$60,$AA$66,$AA$72:$AA$79))*Parameters!$B$37/12</f>
        <v>15175.6824706807</v>
      </c>
      <c r="N81" s="46">
        <f>(SUM($AA$18:$AA$29)-SUM($AA$36,$AA$42,$AA$48,$AA$54,$AA$60,$AA$66,$AA$72:$AA$79))*Parameters!$B$37/12</f>
        <v>15175.6824706807</v>
      </c>
      <c r="O81" s="46">
        <f>(SUM($AA$18:$AA$29)-SUM($AA$36,$AA$42,$AA$48,$AA$54,$AA$60,$AA$66,$AA$72:$AA$79))*Parameters!$B$37/12</f>
        <v>15175.6824706807</v>
      </c>
      <c r="P81" s="46">
        <f>(SUM($AA$18:$AA$29)-SUM($AA$36,$AA$42,$AA$48,$AA$54,$AA$60,$AA$66,$AA$72:$AA$79))*Parameters!$B$37/12</f>
        <v>15175.6824706807</v>
      </c>
      <c r="Q81" s="46">
        <f>(SUM($AA$18:$AA$29)-SUM($AA$36,$AA$42,$AA$48,$AA$54,$AA$60,$AA$66,$AA$72:$AA$79))*Parameters!$B$37/12</f>
        <v>15175.6824706807</v>
      </c>
      <c r="R81" s="46">
        <f>(SUM($AA$18:$AA$29)-SUM($AA$36,$AA$42,$AA$48,$AA$54,$AA$60,$AA$66,$AA$72:$AA$79))*Parameters!$B$37/12</f>
        <v>15175.6824706807</v>
      </c>
      <c r="S81" s="46">
        <f>(SUM($AA$18:$AA$29)-SUM($AA$36,$AA$42,$AA$48,$AA$54,$AA$60,$AA$66,$AA$72:$AA$79))*Parameters!$B$37/12</f>
        <v>15175.6824706807</v>
      </c>
      <c r="T81" s="46">
        <f>(SUM($AA$18:$AA$29)-SUM($AA$36,$AA$42,$AA$48,$AA$54,$AA$60,$AA$66,$AA$72:$AA$79))*Parameters!$B$37/12</f>
        <v>15175.6824706807</v>
      </c>
      <c r="U81" s="46">
        <f>(SUM($AA$18:$AA$29)-SUM($AA$36,$AA$42,$AA$48,$AA$54,$AA$60,$AA$66,$AA$72:$AA$79))*Parameters!$B$37/12</f>
        <v>15175.6824706807</v>
      </c>
      <c r="V81" s="46">
        <f>(SUM($AA$18:$AA$29)-SUM($AA$36,$AA$42,$AA$48,$AA$54,$AA$60,$AA$66,$AA$72:$AA$79))*Parameters!$B$37/12</f>
        <v>15175.6824706807</v>
      </c>
      <c r="W81" s="46">
        <f>(SUM($AA$18:$AA$29)-SUM($AA$36,$AA$42,$AA$48,$AA$54,$AA$60,$AA$66,$AA$72:$AA$79))*Parameters!$B$37/12</f>
        <v>15175.6824706807</v>
      </c>
      <c r="X81" s="46">
        <f>(SUM($AA$18:$AA$29)-SUM($AA$36,$AA$42,$AA$48,$AA$54,$AA$60,$AA$66,$AA$72:$AA$79))*Parameters!$B$37/12</f>
        <v>15175.6824706807</v>
      </c>
      <c r="Y81" s="46">
        <f>(SUM($AA$18:$AA$29)-SUM($AA$36,$AA$42,$AA$48,$AA$54,$AA$60,$AA$66,$AA$72:$AA$79))*Parameters!$B$37/12</f>
        <v>15175.6824706807</v>
      </c>
      <c r="Z81" s="46">
        <f>SUMIF($B$13:$Y$13,"Yes",B81:Y81)</f>
        <v>197283.8721188492</v>
      </c>
      <c r="AA81" s="46">
        <f>SUM(B81:M81)</f>
        <v>182108.1896481685</v>
      </c>
      <c r="AB81" s="46">
        <f>SUM(B81:Y81)</f>
        <v>364216.3792963368</v>
      </c>
    </row>
    <row r="82" spans="1:30">
      <c r="A82" s="16" t="s">
        <v>52</v>
      </c>
      <c r="B82" s="46">
        <f>SUM(B83:B87)</f>
        <v>6597.333333333333</v>
      </c>
      <c r="C82" s="46">
        <f>SUM(C83:C87)</f>
        <v>6597.333333333333</v>
      </c>
      <c r="D82" s="46">
        <f>SUM(D83:D87)</f>
        <v>6597.333333333333</v>
      </c>
      <c r="E82" s="46">
        <f>SUM(E83:E87)</f>
        <v>6597.333333333333</v>
      </c>
      <c r="F82" s="46">
        <f>SUM(F83:F87)</f>
        <v>11317.33333333333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37706.66666666666</v>
      </c>
      <c r="AA82" s="46">
        <f>SUM(B82:M82)</f>
        <v>37706.66666666666</v>
      </c>
      <c r="AB82" s="46">
        <f>SUM(B82:Y82)</f>
        <v>37706.66666666666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6597.333333333333</v>
      </c>
      <c r="C84" s="46">
        <f>IF(Calculations!$E24&gt;COUNT(Output!$B$35:C$35),Calculations!$B24,IF(Calculations!$E24=COUNT(Output!$B$35:C$35),Inputs!$B57-Calculations!$C24*(Calculations!$E24-1)+Calculations!$D24,0))</f>
        <v>6597.333333333333</v>
      </c>
      <c r="D84" s="46">
        <f>IF(Calculations!$E24&gt;COUNT(Output!$B$35:D$35),Calculations!$B24,IF(Calculations!$E24=COUNT(Output!$B$35:D$35),Inputs!$B57-Calculations!$C24*(Calculations!$E24-1)+Calculations!$D24,0))</f>
        <v>6597.333333333333</v>
      </c>
      <c r="E84" s="46">
        <f>IF(Calculations!$E24&gt;COUNT(Output!$B$35:E$35),Calculations!$B24,IF(Calculations!$E24=COUNT(Output!$B$35:E$35),Inputs!$B57-Calculations!$C24*(Calculations!$E24-1)+Calculations!$D24,0))</f>
        <v>6597.333333333333</v>
      </c>
      <c r="F84" s="46">
        <f>IF(Calculations!$E24&gt;COUNT(Output!$B$35:F$35),Calculations!$B24,IF(Calculations!$E24=COUNT(Output!$B$35:F$35),Inputs!$B57-Calculations!$C24*(Calculations!$E24-1)+Calculations!$D24,0))</f>
        <v>11317.33333333333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37706.66666666666</v>
      </c>
      <c r="AA84" s="46">
        <f>SUM(B84:M84)</f>
        <v>37706.66666666666</v>
      </c>
      <c r="AB84" s="46">
        <f>SUM(B84:Y84)</f>
        <v>37706.66666666666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41266.76580401404</v>
      </c>
      <c r="C88" s="19">
        <f>SUM(C72:C82,C66,C60,C54,C48,C42,C36)</f>
        <v>41266.76580401404</v>
      </c>
      <c r="D88" s="19">
        <f>SUM(D72:D82,D66,D60,D54,D48,D42,D36)</f>
        <v>41266.76580401404</v>
      </c>
      <c r="E88" s="19">
        <f>SUM(E72:E82,E66,E60,E54,E48,E42,E36)</f>
        <v>36229.26580401404</v>
      </c>
      <c r="F88" s="19">
        <f>SUM(F72:F82,F66,F60,F54,F48,F42,F36)</f>
        <v>40949.26580401404</v>
      </c>
      <c r="G88" s="19">
        <f>SUM(G72:G82,G66,G60,G54,G48,G42,G36)</f>
        <v>35275.4324706807</v>
      </c>
      <c r="H88" s="19">
        <f>SUM(H72:H82,H66,H60,H54,H48,H42,H36)</f>
        <v>34669.4324706807</v>
      </c>
      <c r="I88" s="19">
        <f>SUM(I72:I82,I66,I60,I54,I48,I42,I36)</f>
        <v>34669.4324706807</v>
      </c>
      <c r="J88" s="19">
        <f>SUM(J72:J82,J66,J60,J54,J48,J42,J36)</f>
        <v>34669.4324706807</v>
      </c>
      <c r="K88" s="19">
        <f>SUM(K72:K82,K66,K60,K54,K48,K42,K36)</f>
        <v>29631.9324706807</v>
      </c>
      <c r="L88" s="19">
        <f>SUM(L72:L82,L66,L60,L54,L48,L42,L36)</f>
        <v>29631.9324706807</v>
      </c>
      <c r="M88" s="19">
        <f>SUM(M72:M82,M66,M60,M54,M48,M42,M36)</f>
        <v>35275.4324706807</v>
      </c>
      <c r="N88" s="19">
        <f>SUM(N72:N82,N66,N60,N54,N48,N42,N36)</f>
        <v>34669.4324706807</v>
      </c>
      <c r="O88" s="19">
        <f>SUM(O72:O82,O66,O60,O54,O48,O42,O36)</f>
        <v>34669.4324706807</v>
      </c>
      <c r="P88" s="19">
        <f>SUM(P72:P82,P66,P60,P54,P48,P42,P36)</f>
        <v>34669.4324706807</v>
      </c>
      <c r="Q88" s="19">
        <f>SUM(Q72:Q82,Q66,Q60,Q54,Q48,Q42,Q36)</f>
        <v>29631.9324706807</v>
      </c>
      <c r="R88" s="19">
        <f>SUM(R72:R82,R66,R60,R54,R48,R42,R36)</f>
        <v>29631.9324706807</v>
      </c>
      <c r="S88" s="19">
        <f>SUM(S72:S82,S66,S60,S54,S48,S42,S36)</f>
        <v>35275.4324706807</v>
      </c>
      <c r="T88" s="19">
        <f>SUM(T72:T82,T66,T60,T54,T48,T42,T36)</f>
        <v>34669.4324706807</v>
      </c>
      <c r="U88" s="19">
        <f>SUM(U72:U82,U66,U60,U54,U48,U42,U36)</f>
        <v>34669.4324706807</v>
      </c>
      <c r="V88" s="19">
        <f>SUM(V72:V82,V66,V60,V54,V48,V42,V36)</f>
        <v>34669.4324706807</v>
      </c>
      <c r="W88" s="19">
        <f>SUM(W72:W82,W66,W60,W54,W48,W42,W36)</f>
        <v>29631.9324706807</v>
      </c>
      <c r="X88" s="19">
        <f>SUM(X72:X82,X66,X60,X54,X48,X42,X36)</f>
        <v>29631.9324706807</v>
      </c>
      <c r="Y88" s="19">
        <f>SUM(Y72:Y82,Y66,Y60,Y54,Y48,Y42,Y36)</f>
        <v>35275.4324706807</v>
      </c>
      <c r="Z88" s="19">
        <f>SUMIF($B$13:$Y$13,"Yes",B88:Y88)</f>
        <v>469471.2887855157</v>
      </c>
      <c r="AA88" s="19">
        <f>SUM(B88:M88)</f>
        <v>434801.856314835</v>
      </c>
      <c r="AB88" s="19">
        <f>SUM(B88:Y88)</f>
        <v>831897.0459630032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3150000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60000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4655000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28740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180740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92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 t="s">
        <v>95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96</v>
      </c>
      <c r="J9" s="148" t="s">
        <v>93</v>
      </c>
      <c r="K9" s="138"/>
      <c r="L9" s="16"/>
      <c r="M9" s="165">
        <v>0</v>
      </c>
      <c r="N9" s="154">
        <v>0</v>
      </c>
    </row>
    <row r="10" spans="1:48">
      <c r="A10" s="143" t="s">
        <v>97</v>
      </c>
      <c r="B10" s="16"/>
      <c r="C10" s="143">
        <v>2</v>
      </c>
      <c r="D10" s="16"/>
      <c r="E10" s="147" t="s">
        <v>90</v>
      </c>
      <c r="F10" s="149" t="s">
        <v>91</v>
      </c>
      <c r="G10" s="147"/>
      <c r="H10" s="147" t="s">
        <v>91</v>
      </c>
      <c r="I10" s="147" t="s">
        <v>91</v>
      </c>
      <c r="J10" s="148" t="s">
        <v>93</v>
      </c>
      <c r="K10" s="138"/>
      <c r="L10" s="16"/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112</v>
      </c>
      <c r="G19" s="20"/>
      <c r="H19" s="20"/>
      <c r="I19" s="145" t="s">
        <v>113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10000</v>
      </c>
    </row>
    <row r="31" spans="1:48">
      <c r="A31" s="5" t="s">
        <v>120</v>
      </c>
      <c r="B31" s="158">
        <v>3000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112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112</v>
      </c>
    </row>
    <row r="45" spans="1:48">
      <c r="A45" s="56" t="s">
        <v>133</v>
      </c>
      <c r="B45" s="161">
        <v>250000</v>
      </c>
    </row>
    <row r="46" spans="1:48" customHeight="1" ht="30">
      <c r="A46" s="57" t="s">
        <v>134</v>
      </c>
      <c r="B46" s="161">
        <v>60000</v>
      </c>
    </row>
    <row r="47" spans="1:48" customHeight="1" ht="30">
      <c r="A47" s="57" t="s">
        <v>135</v>
      </c>
      <c r="B47" s="161">
        <v>25000</v>
      </c>
    </row>
    <row r="48" spans="1:48" customHeight="1" ht="30">
      <c r="A48" s="57" t="s">
        <v>136</v>
      </c>
      <c r="B48" s="161">
        <v>500000</v>
      </c>
    </row>
    <row r="49" spans="1:48" customHeight="1" ht="30">
      <c r="A49" s="57" t="s">
        <v>137</v>
      </c>
      <c r="B49" s="161">
        <v>70000</v>
      </c>
    </row>
    <row r="50" spans="1:48">
      <c r="A50" s="43"/>
      <c r="B50" s="36"/>
    </row>
    <row r="51" spans="1:48">
      <c r="A51" s="58" t="s">
        <v>138</v>
      </c>
      <c r="B51" s="161">
        <v>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200</v>
      </c>
      <c r="B56" s="159">
        <v>200</v>
      </c>
      <c r="C56" s="162" t="s">
        <v>146</v>
      </c>
      <c r="D56" s="163" t="s">
        <v>147</v>
      </c>
      <c r="E56" s="163" t="s">
        <v>112</v>
      </c>
      <c r="F56" s="163" t="s">
        <v>148</v>
      </c>
    </row>
    <row r="57" spans="1:48">
      <c r="A57" s="157">
        <v>100000</v>
      </c>
      <c r="B57" s="157">
        <v>28540</v>
      </c>
      <c r="C57" s="164" t="s">
        <v>149</v>
      </c>
      <c r="D57" s="165" t="s">
        <v>150</v>
      </c>
      <c r="E57" s="165" t="s">
        <v>91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78500</v>
      </c>
      <c r="C66" s="163">
        <v>64580</v>
      </c>
      <c r="D66" s="49">
        <f>INDEX(Parameters!$D$79:$D$90,MATCH(Inputs!A66,Parameters!$C$79:$C$90,0))</f>
        <v>2</v>
      </c>
    </row>
    <row r="67" spans="1:48">
      <c r="A67" s="143" t="s">
        <v>156</v>
      </c>
      <c r="B67" s="157">
        <v>99150</v>
      </c>
      <c r="C67" s="165">
        <v>74120</v>
      </c>
      <c r="D67" s="49">
        <f>INDEX(Parameters!$D$79:$D$90,MATCH(Inputs!A67,Parameters!$C$79:$C$90,0))</f>
        <v>3</v>
      </c>
    </row>
    <row r="68" spans="1:48">
      <c r="A68" s="143" t="s">
        <v>157</v>
      </c>
      <c r="B68" s="157">
        <v>105600</v>
      </c>
      <c r="C68" s="165">
        <v>94150</v>
      </c>
      <c r="D68" s="49">
        <f>INDEX(Parameters!$D$79:$D$90,MATCH(Inputs!A68,Parameters!$C$79:$C$90,0))</f>
        <v>4</v>
      </c>
    </row>
    <row r="69" spans="1:48">
      <c r="A69" s="143" t="s">
        <v>158</v>
      </c>
      <c r="B69" s="157">
        <v>127485</v>
      </c>
      <c r="C69" s="165">
        <v>107450</v>
      </c>
      <c r="D69" s="49">
        <f>INDEX(Parameters!$D$79:$D$90,MATCH(Inputs!A69,Parameters!$C$79:$C$90,0))</f>
        <v>5</v>
      </c>
    </row>
    <row r="70" spans="1:48">
      <c r="A70" s="143" t="s">
        <v>93</v>
      </c>
      <c r="B70" s="157">
        <v>715122</v>
      </c>
      <c r="C70" s="165">
        <v>154710</v>
      </c>
      <c r="D70" s="49">
        <f>INDEX(Parameters!$D$79:$D$90,MATCH(Inputs!A70,Parameters!$C$79:$C$90,0))</f>
        <v>1</v>
      </c>
    </row>
    <row r="71" spans="1:48">
      <c r="A71" s="144" t="s">
        <v>159</v>
      </c>
      <c r="B71" s="158">
        <v>198540</v>
      </c>
      <c r="C71" s="167">
        <v>184150</v>
      </c>
      <c r="D71" s="49">
        <f>INDEX(Parameters!$D$79:$D$90,MATCH(Inputs!A71,Parameters!$C$79:$C$90,0))</f>
        <v>6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13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150000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4606.651</v>
      </c>
      <c r="M5" s="30">
        <f>L5*H5</f>
        <v>4606.651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128986.228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Tea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750</v>
      </c>
      <c r="M6" s="30">
        <f>L6*H6</f>
        <v>1500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32.2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48299.99999999999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0.6956521739130435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54000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Coffee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110.40512</v>
      </c>
      <c r="M7" s="30">
        <f>L7*H7</f>
        <v>220.81024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44.8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9892.298751999999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45000</v>
      </c>
      <c r="AC7" s="22">
        <f>IF($A7=0,1/12,IFERROR(INDEX(Parameters!$X$2:$AI$17,MATCH(Calculations!$A7,Parameters!$A$2:$A$17,0),MONTH(Calculations!AC$3)),1/12))</f>
        <v>0.05128205128205128</v>
      </c>
      <c r="AD7" s="22">
        <f>IF($A7=0,1/12,IFERROR(INDEX(Parameters!$X$2:$AI$17,MATCH(Calculations!$A7,Parameters!$A$2:$A$17,0),MONTH(Calculations!AD$3)),1/12))</f>
        <v>0</v>
      </c>
      <c r="AE7" s="22">
        <f>IF($A7=0,1/12,IFERROR(INDEX(Parameters!$X$2:$AI$17,MATCH(Calculations!$A7,Parameters!$A$2:$A$17,0),MONTH(Calculations!AE$3)),1/12))</f>
        <v>0.05128205128205128</v>
      </c>
      <c r="AF7" s="22">
        <f>IF($A7=0,1/12,IFERROR(INDEX(Parameters!$X$2:$AI$17,MATCH(Calculations!$A7,Parameters!$A$2:$A$17,0),MONTH(Calculations!AF$3)),1/12))</f>
        <v>0.1025641025641026</v>
      </c>
      <c r="AG7" s="22">
        <f>IF($A7=0,1/12,IFERROR(INDEX(Parameters!$X$2:$AI$17,MATCH(Calculations!$A7,Parameters!$A$2:$A$17,0),MONTH(Calculations!AG$3)),1/12))</f>
        <v>0.1282051282051282</v>
      </c>
      <c r="AH7" s="22">
        <f>IF($A7=0,1/12,IFERROR(INDEX(Parameters!$X$2:$AI$17,MATCH(Calculations!$A7,Parameters!$A$2:$A$17,0),MONTH(Calculations!AH$3)),1/12))</f>
        <v>0.1282051282051282</v>
      </c>
      <c r="AI7" s="22">
        <f>IF($A7=0,1/12,IFERROR(INDEX(Parameters!$X$2:$AI$17,MATCH(Calculations!$A7,Parameters!$A$2:$A$17,0),MONTH(Calculations!AI$3)),1/12))</f>
        <v>0.1282051282051282</v>
      </c>
      <c r="AJ7" s="22">
        <f>IF($A7=0,1/12,IFERROR(INDEX(Parameters!$X$2:$AI$17,MATCH(Calculations!$A7,Parameters!$A$2:$A$17,0),MONTH(Calculations!AJ$3)),1/12))</f>
        <v>0.1025641025641026</v>
      </c>
      <c r="AK7" s="22">
        <f>IF($A7=0,1/12,IFERROR(INDEX(Parameters!$X$2:$AI$17,MATCH(Calculations!$A7,Parameters!$A$2:$A$17,0),MONTH(Calculations!AK$3)),1/12))</f>
        <v>0.05128205128205128</v>
      </c>
      <c r="AL7" s="22">
        <f>IF($A7=0,1/12,IFERROR(INDEX(Parameters!$X$2:$AI$17,MATCH(Calculations!$A7,Parameters!$A$2:$A$17,0),MONTH(Calculations!AL$3)),1/12))</f>
        <v>0</v>
      </c>
      <c r="AM7" s="22">
        <f>IF($A7=0,1/12,IFERROR(INDEX(Parameters!$X$2:$AI$17,MATCH(Calculations!$A7,Parameters!$A$2:$A$17,0),MONTH(Calculations!AM$3)),1/12))</f>
        <v>0.1282051282051282</v>
      </c>
      <c r="AN7" s="22">
        <f>IF($A7=0,1/12,IFERROR(INDEX(Parameters!$X$2:$AI$17,MATCH(Calculations!$A7,Parameters!$A$2:$A$17,0),MONTH(Calculations!AN$3)),1/12))</f>
        <v>0.1282051282051282</v>
      </c>
      <c r="AO7" s="22">
        <f>IF($A7=0,1/12,IFERROR(INDEX(Parameters!$X$2:$AI$17,MATCH(Calculations!$A7,Parameters!$A$2:$A$17,0),MONTH(Calculations!AO$3)),1/12))</f>
        <v>0.05128205128205128</v>
      </c>
      <c r="AP7" s="22">
        <f>IF($A7=0,1/12,IFERROR(INDEX(Parameters!$X$2:$AI$17,MATCH(Calculations!$A7,Parameters!$A$2:$A$17,0),MONTH(Calculations!AP$3)),1/12))</f>
        <v>0</v>
      </c>
      <c r="AQ7" s="22">
        <f>IF($A7=0,1/12,IFERROR(INDEX(Parameters!$X$2:$AI$17,MATCH(Calculations!$A7,Parameters!$A$2:$A$17,0),MONTH(Calculations!AQ$3)),1/12))</f>
        <v>0.05128205128205128</v>
      </c>
      <c r="AR7" s="22">
        <f>IF($A7=0,1/12,IFERROR(INDEX(Parameters!$X$2:$AI$17,MATCH(Calculations!$A7,Parameters!$A$2:$A$17,0),MONTH(Calculations!AR$3)),1/12))</f>
        <v>0.1025641025641026</v>
      </c>
      <c r="AS7" s="22">
        <f>IF($A7=0,1/12,IFERROR(INDEX(Parameters!$X$2:$AI$17,MATCH(Calculations!$A7,Parameters!$A$2:$A$17,0),MONTH(Calculations!AS$3)),1/12))</f>
        <v>0.1282051282051282</v>
      </c>
      <c r="AT7" s="22">
        <f>IF($A7=0,1/12,IFERROR(INDEX(Parameters!$X$2:$AI$17,MATCH(Calculations!$A7,Parameters!$A$2:$A$17,0),MONTH(Calculations!AT$3)),1/12))</f>
        <v>0.1282051282051282</v>
      </c>
      <c r="AU7" s="22">
        <f>IF($A7=0,1/12,IFERROR(INDEX(Parameters!$X$2:$AI$17,MATCH(Calculations!$A7,Parameters!$A$2:$A$17,0),MONTH(Calculations!AU$3)),1/12))</f>
        <v>0.1282051282051282</v>
      </c>
      <c r="AV7" s="22">
        <f>IF($A7=0,1/12,IFERROR(INDEX(Parameters!$X$2:$AI$17,MATCH(Calculations!$A7,Parameters!$A$2:$A$17,0),MONTH(Calculations!AV$3)),1/12))</f>
        <v>0.1025641025641026</v>
      </c>
      <c r="AW7" s="22">
        <f>IF($A7=0,1/12,IFERROR(INDEX(Parameters!$X$2:$AI$17,MATCH(Calculations!$A7,Parameters!$A$2:$A$17,0),MONTH(Calculations!AW$3)),1/12))</f>
        <v>0.05128205128205128</v>
      </c>
      <c r="AX7" s="22">
        <f>IF($A7=0,1/12,IFERROR(INDEX(Parameters!$X$2:$AI$17,MATCH(Calculations!$A7,Parameters!$A$2:$A$17,0),MONTH(Calculations!AX$3)),1/12))</f>
        <v>0</v>
      </c>
      <c r="AY7" s="22">
        <f>IF($A7=0,1/12,IFERROR(INDEX(Parameters!$X$2:$AI$17,MATCH(Calculations!$A7,Parameters!$A$2:$A$17,0),MONTH(Calculations!AY$3)),1/12))</f>
        <v>0.1282051282051282</v>
      </c>
      <c r="AZ7" s="22">
        <f>IF($A7=0,1/12,IFERROR(INDEX(Parameters!$X$2:$AI$17,MATCH(Calculations!$A7,Parameters!$A$2:$A$17,0),MONTH(Calculations!AZ$3)),1/12))</f>
        <v>0.1282051282051282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200</v>
      </c>
      <c r="B23" s="75">
        <f>SUM(C23:D23)</f>
        <v>3.666666666666667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3.666666666666667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6597.333333333333</v>
      </c>
      <c r="C24" s="46">
        <f>IF(Inputs!B57&gt;0,(Inputs!A57-Inputs!B57)/(DATE(YEAR(Inputs!$B$76),MONTH(Inputs!$B$76),DAY(Inputs!$B$76))-DATE(YEAR(Inputs!C57),MONTH(Inputs!C57),DAY(Inputs!C57)))*30,0)</f>
        <v>4764</v>
      </c>
      <c r="D24" s="46">
        <f>IF(Inputs!B57&gt;0,Inputs!A57*0.22/12,0)</f>
        <v>1833.333333333333</v>
      </c>
      <c r="E24" s="46">
        <f>IFERROR(ROUNDUP(Inputs!B57/B24,0),0)</f>
        <v>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42993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165</v>
      </c>
      <c r="G33" s="128">
        <f>IF(Inputs!B79="","",DATE(YEAR(Inputs!B79),MONTH(Inputs!B79),DAY(Inputs!B79)))</f>
        <v>42962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43023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167</v>
      </c>
      <c r="G34" s="128">
        <f>IF(Inputs!B80="","",DATE(YEAR(Inputs!B80),MONTH(Inputs!B80),DAY(Inputs!B80)))</f>
        <v>42993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169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43084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43115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43174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43235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233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234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43296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43327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207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91</v>
      </c>
      <c r="C41" s="191" t="s">
        <v>112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317</v>
      </c>
      <c r="H52" s="12" t="s">
        <v>131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235</v>
      </c>
      <c r="E53" s="10" t="s">
        <v>194</v>
      </c>
      <c r="F53" s="10" t="s">
        <v>254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112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112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112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112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112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112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112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112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112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112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112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172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231</v>
      </c>
      <c r="J76" s="11" t="s">
        <v>351</v>
      </c>
      <c r="K76" s="11" t="s">
        <v>184</v>
      </c>
      <c r="AJ76" s="12"/>
    </row>
    <row r="77" spans="1:36">
      <c r="A77" t="s">
        <v>112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131</v>
      </c>
      <c r="I77" s="12" t="s">
        <v>354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92</v>
      </c>
      <c r="G78" s="12" t="s">
        <v>113</v>
      </c>
      <c r="H78" s="12" t="s">
        <v>318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172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363</v>
      </c>
      <c r="F80" s="12" t="s">
        <v>96</v>
      </c>
      <c r="J80" s="70" t="s">
        <v>364</v>
      </c>
      <c r="K80" s="12" t="s">
        <v>112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365</v>
      </c>
      <c r="K81" s="12" t="s">
        <v>112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