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<sst xmlns="http://schemas.openxmlformats.org/spreadsheetml/2006/main" uniqueCount="369">
  <si>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</si>
  <si>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</si>
  <si>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</si>
  <si>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</si>
  <si>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</si>
  <si>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</si>
  <si>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</si>
  <si>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</si>
  <si>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</si>
  <si>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</si>
  <si>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</si>
  <si>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</si>
  <si>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</si>
  <si>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</si>
  <si>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</si>
  <si>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</si>
  <si>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</si>
  <si>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</si>
  <si>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</si>
  <si>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</si>
  <si>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</si>
  <si>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</si>
  <si>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</si>
  <si>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</si>
  <si>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</si>
  <si>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</si>
  <si>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</si>
  <si>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</si>
  <si>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</si>
  <si>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</si>
  <si>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</si>
  <si>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</si>
  <si>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</si>
  <si>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</si>
  <si>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</si>
  <si>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</si>
  <si>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</si>
  <si>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</si>
  <si>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</si>
  <si>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</si>
  <si>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</si>
  <si>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</si>
  <si>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</si>
  <si>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</si>
  <si>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</si>
  <si>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</si>
  <si>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</si>
  <si>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</si>
  <si>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</si>
  <si>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</si>
  <si>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</si>
  <si>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</si>
  <si>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</si>
  <si>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</si>
  <si>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</si>
  <si>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</si>
  <si>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</si>
  <si>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</si>
  <si>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</si>
  <si>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</si>
  <si>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</si>
  <si>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</si>
  <si>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</si>
  <si>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</si>
  <si>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</si>
  <si>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</si>
  <si>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</si>
  <si>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</si>
  <si>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</si>
  <si>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</si>
  <si>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</si>
  <si>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</si>
  <si>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</si>
  <si>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</si>
  <si>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</si>
  <si>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</si>
  <si>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</si>
  <si>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</si>
  <si>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</si>
  <si>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</si>
  <si>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</si>
  <si>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</si>
  <si>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</si>
  <si>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</si>
  <si>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</si>
  <si>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</si>
  <si>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</si>
  <si>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</si>
  <si>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</si>
  <si>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</si>
  <si>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</si>
  <si>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</si>
  <si>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</si>
  <si>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</si>
  <si>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</si>
  <si>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</si>
  <si>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</si>
  <si>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</si>
  <si>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</si>
  <si>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</si>
  <si>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</si>
  <si>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</si>
  <si>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</si>
  <si>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</si>
  <si>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</si>
  <si>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</si>
  <si>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</si>
  <si>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</si>
  <si>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</si>
  <si>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</si>
  <si>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</si>
  <si>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</si>
  <si>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</si>
  <si>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</si>
  <si>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boutique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</si>
  <si>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</si>
  <si>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</si>
  <si>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</si>
  <si>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</si>
  <si>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</si>
  <si>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</si>
  <si>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</si>
  <si>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farming</t>
  </si>
  <si>
    <t>August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</si>
  <si>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</si>
  <si>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</si>
  <si>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</si>
  <si>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</si>
  <si>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</si>
  <si>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</si>
  <si>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</si>
  <si>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</si>
  <si>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</si>
  <si>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</si>
  <si>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</si>
  <si>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</si>
  <si>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</si>
  <si>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</si>
  <si>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</si>
  <si>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</si>
  <si>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</si>
  <si>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</si>
  <si>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</si>
  <si>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</si>
  <si>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9/23/2016</t>
  </si>
  <si>
    <t>kwft</t>
  </si>
  <si>
    <t>well paid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</si>
  <si>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</si>
  <si>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</si>
  <si>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</si>
  <si>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</si>
  <si>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</si>
  <si>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</si>
  <si>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</si>
  <si>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</si>
  <si>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</si>
  <si>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</si>
  <si>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</si>
  <si>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2017/8/2</t>
  </si>
  <si>
    <t>Loan terms</t>
  </si>
  <si>
    <t>Expected disbursement date</t>
  </si>
  <si>
    <t>Expected first repayment date</t>
  </si>
  <si>
    <t>2017/9/2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</si>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</sst>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boutique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2018</v>
      </c>
    </row>
    <row r="13" spans="1:7">
      <c r="B13" s="1" t="s">
        <v>8</v>
      </c>
      <c r="C13" s="67">
        <f>IFERROR(Output!B107/Output!B101,"")</f>
        <v>0.002231932773109244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-5865157.129987407</v>
      </c>
    </row>
    <row r="18" spans="1:7">
      <c r="B18" s="1" t="s">
        <v>12</v>
      </c>
      <c r="C18" s="36">
        <f>MIN(Output!B6:M6)</f>
        <v>-606219.2219252586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-327927.4759026598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80000</v>
      </c>
    </row>
    <row r="25" spans="1:7">
      <c r="B25" s="1" t="s">
        <v>18</v>
      </c>
      <c r="C25" s="36">
        <f>MAX(Inputs!A56:A60)</f>
        <v>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-606219.2219252586</v>
      </c>
      <c r="C6" s="51">
        <f>C30-C88</f>
        <v>-355855.7471531887</v>
      </c>
      <c r="D6" s="51">
        <f>D30-D88</f>
        <v>-327927.4759026598</v>
      </c>
      <c r="E6" s="51">
        <f>E30-E88</f>
        <v>-501409.187222922</v>
      </c>
      <c r="F6" s="51">
        <f>F30-F88</f>
        <v>-501409.187222922</v>
      </c>
      <c r="G6" s="51">
        <f>G30-G88</f>
        <v>-501409.187222922</v>
      </c>
      <c r="H6" s="51">
        <f>H30-H88</f>
        <v>-556681.187222922</v>
      </c>
      <c r="I6" s="51">
        <f>I30-I88</f>
        <v>-501409.187222922</v>
      </c>
      <c r="J6" s="51">
        <f>J30-J88</f>
        <v>-501409.187222922</v>
      </c>
      <c r="K6" s="51">
        <f>K30-K88</f>
        <v>-508609.187222922</v>
      </c>
      <c r="L6" s="51">
        <f>L30-L88</f>
        <v>-501409.187222922</v>
      </c>
      <c r="M6" s="51">
        <f>M30-M88</f>
        <v>-501409.187222922</v>
      </c>
      <c r="N6" s="51">
        <f>N30-N88</f>
        <v>-478618.3699550776</v>
      </c>
      <c r="O6" s="51">
        <f>O30-O88</f>
        <v>-348254.8951830076</v>
      </c>
      <c r="P6" s="51">
        <f>P30-P88</f>
        <v>-322729.1798430218</v>
      </c>
      <c r="Q6" s="51">
        <f>Q30-Q88</f>
        <v>-501409.187222922</v>
      </c>
      <c r="R6" s="51">
        <f>R30-R88</f>
        <v>-501409.187222922</v>
      </c>
      <c r="S6" s="51">
        <f>S30-S88</f>
        <v>-501409.187222922</v>
      </c>
      <c r="T6" s="51">
        <f>T30-T88</f>
        <v>-556681.187222922</v>
      </c>
      <c r="U6" s="51">
        <f>U30-U88</f>
        <v>-501409.187222922</v>
      </c>
      <c r="V6" s="51">
        <f>V30-V88</f>
        <v>-501409.187222922</v>
      </c>
      <c r="W6" s="51">
        <f>W30-W88</f>
        <v>-508609.187222922</v>
      </c>
      <c r="X6" s="51">
        <f>X30-X88</f>
        <v>-501409.187222922</v>
      </c>
      <c r="Y6" s="51">
        <f>Y30-Y88</f>
        <v>-501409.187222922</v>
      </c>
      <c r="Z6" s="51">
        <f>SUMIF($B$13:$Y$13,"Yes",B6:Y6)</f>
        <v>-6343775.499942484</v>
      </c>
      <c r="AA6" s="51">
        <f>AA30-AA88</f>
        <v>-5865157.129987407</v>
      </c>
      <c r="AB6" s="51">
        <f>AB30-AB88</f>
        <v>-11589914.25997481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100000</v>
      </c>
      <c r="C7" s="80">
        <f>IF(ISERROR(VLOOKUP(MONTH(C5),Inputs!$D$66:$D$71,1,0)),"",INDEX(Inputs!$B$66:$B$71,MATCH(MONTH(Output!C5),Inputs!$D$66:$D$71,0))-INDEX(Inputs!$C$66:$C$71,MATCH(MONTH(Output!C5),Inputs!$D$66:$D$71,0)))</f>
        <v>70000</v>
      </c>
      <c r="D7" s="80">
        <f>IF(ISERROR(VLOOKUP(MONTH(D5),Inputs!$D$66:$D$71,1,0)),"",INDEX(Inputs!$B$66:$B$71,MATCH(MONTH(Output!D5),Inputs!$D$66:$D$71,0))-INDEX(Inputs!$C$66:$C$71,MATCH(MONTH(Output!D5),Inputs!$D$66:$D$71,0)))</f>
        <v>170000</v>
      </c>
      <c r="E7" s="80">
        <f>IF(ISERROR(VLOOKUP(MONTH(E5),Inputs!$D$66:$D$71,1,0)),"",INDEX(Inputs!$B$66:$B$71,MATCH(MONTH(Output!E5),Inputs!$D$66:$D$71,0))-INDEX(Inputs!$C$66:$C$71,MATCH(MONTH(Output!E5),Inputs!$D$66:$D$71,0)))</f>
        <v>250000</v>
      </c>
      <c r="F7" s="80">
        <f>IF(ISERROR(VLOOKUP(MONTH(F5),Inputs!$D$66:$D$71,1,0)),"",INDEX(Inputs!$B$66:$B$71,MATCH(MONTH(Output!F5),Inputs!$D$66:$D$71,0))-INDEX(Inputs!$C$66:$C$71,MATCH(MONTH(Output!F5),Inputs!$D$66:$D$71,0)))</f>
        <v>40000</v>
      </c>
      <c r="G7" s="80">
        <f>IF(ISERROR(VLOOKUP(MONTH(G5),Inputs!$D$66:$D$71,1,0)),"",INDEX(Inputs!$B$66:$B$71,MATCH(MONTH(Output!G5),Inputs!$D$66:$D$71,0))-INDEX(Inputs!$C$66:$C$71,MATCH(MONTH(Output!G5),Inputs!$D$66:$D$71,0)))</f>
        <v>20000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100000</v>
      </c>
      <c r="O7" s="80">
        <f>IF(ISERROR(VLOOKUP(MONTH(O5),Inputs!$D$66:$D$71,1,0)),"",INDEX(Inputs!$B$66:$B$71,MATCH(MONTH(Output!O5),Inputs!$D$66:$D$71,0))-INDEX(Inputs!$C$66:$C$71,MATCH(MONTH(Output!O5),Inputs!$D$66:$D$71,0)))</f>
        <v>70000</v>
      </c>
      <c r="P7" s="80">
        <f>IF(ISERROR(VLOOKUP(MONTH(P5),Inputs!$D$66:$D$71,1,0)),"",INDEX(Inputs!$B$66:$B$71,MATCH(MONTH(Output!P5),Inputs!$D$66:$D$71,0))-INDEX(Inputs!$C$66:$C$71,MATCH(MONTH(Output!P5),Inputs!$D$66:$D$71,0)))</f>
        <v>170000</v>
      </c>
      <c r="Q7" s="80">
        <f>IF(ISERROR(VLOOKUP(MONTH(Q5),Inputs!$D$66:$D$71,1,0)),"",INDEX(Inputs!$B$66:$B$71,MATCH(MONTH(Output!Q5),Inputs!$D$66:$D$71,0))-INDEX(Inputs!$C$66:$C$71,MATCH(MONTH(Output!Q5),Inputs!$D$66:$D$71,0)))</f>
        <v>250000</v>
      </c>
      <c r="R7" s="80">
        <f>IF(ISERROR(VLOOKUP(MONTH(R5),Inputs!$D$66:$D$71,1,0)),"",INDEX(Inputs!$B$66:$B$71,MATCH(MONTH(Output!R5),Inputs!$D$66:$D$71,0))-INDEX(Inputs!$C$66:$C$71,MATCH(MONTH(Output!R5),Inputs!$D$66:$D$71,0)))</f>
        <v>40000</v>
      </c>
      <c r="S7" s="80">
        <f>IF(ISERROR(VLOOKUP(MONTH(S5),Inputs!$D$66:$D$71,1,0)),"",INDEX(Inputs!$B$66:$B$71,MATCH(MONTH(Output!S5),Inputs!$D$66:$D$71,0))-INDEX(Inputs!$C$66:$C$71,MATCH(MONTH(Output!S5),Inputs!$D$66:$D$71,0)))</f>
        <v>20000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-456219.2219252586</v>
      </c>
      <c r="C11" s="80">
        <f>C6+C9-C10</f>
        <v>-370855.7471531887</v>
      </c>
      <c r="D11" s="80">
        <f>D6+D9-D10</f>
        <v>-342927.4759026598</v>
      </c>
      <c r="E11" s="80">
        <f>E6+E9-E10</f>
        <v>-516409.187222922</v>
      </c>
      <c r="F11" s="80">
        <f>F6+F9-F10</f>
        <v>-516409.187222922</v>
      </c>
      <c r="G11" s="80">
        <f>G6+G9-G10</f>
        <v>-516409.187222922</v>
      </c>
      <c r="H11" s="80">
        <f>H6+H9-H10</f>
        <v>-571681.187222922</v>
      </c>
      <c r="I11" s="80">
        <f>I6+I9-I10</f>
        <v>-516409.187222922</v>
      </c>
      <c r="J11" s="80">
        <f>J6+J9-J10</f>
        <v>-516409.187222922</v>
      </c>
      <c r="K11" s="80">
        <f>K6+K9-K10</f>
        <v>-523609.187222922</v>
      </c>
      <c r="L11" s="80">
        <f>L6+L9-L10</f>
        <v>-516409.187222922</v>
      </c>
      <c r="M11" s="80">
        <f>M6+M9-M10</f>
        <v>-516409.187222922</v>
      </c>
      <c r="N11" s="80">
        <f>N6+N9-N10</f>
        <v>-493618.3699550776</v>
      </c>
      <c r="O11" s="80">
        <f>O6+O9-O10</f>
        <v>-348254.8951830076</v>
      </c>
      <c r="P11" s="80">
        <f>P6+P9-P10</f>
        <v>-322729.1798430218</v>
      </c>
      <c r="Q11" s="80">
        <f>Q6+Q9-Q10</f>
        <v>-501409.187222922</v>
      </c>
      <c r="R11" s="80">
        <f>R6+R9-R10</f>
        <v>-501409.187222922</v>
      </c>
      <c r="S11" s="80">
        <f>S6+S9-S10</f>
        <v>-501409.187222922</v>
      </c>
      <c r="T11" s="80">
        <f>T6+T9-T10</f>
        <v>-556681.187222922</v>
      </c>
      <c r="U11" s="80">
        <f>U6+U9-U10</f>
        <v>-501409.187222922</v>
      </c>
      <c r="V11" s="80">
        <f>V6+V9-V10</f>
        <v>-501409.187222922</v>
      </c>
      <c r="W11" s="80">
        <f>W6+W9-W10</f>
        <v>-508609.187222922</v>
      </c>
      <c r="X11" s="80">
        <f>X6+X9-X10</f>
        <v>-501409.187222922</v>
      </c>
      <c r="Y11" s="80">
        <f>Y6+Y9-Y10</f>
        <v>-501409.187222922</v>
      </c>
      <c r="Z11" s="85">
        <f>SUMIF($B$13:$Y$13,"Yes",B11:Y11)</f>
        <v>-6373775.499942484</v>
      </c>
      <c r="AA11" s="80">
        <f>SUM(B11:M11)</f>
        <v>-5880157.129987407</v>
      </c>
      <c r="AB11" s="46">
        <f>SUM(B11:Y11)</f>
        <v>-11619914.25997481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127628.5766999287</v>
      </c>
      <c r="C18" s="36">
        <f>O18</f>
        <v>153154.2920399144</v>
      </c>
      <c r="D18" s="36">
        <f>P18</f>
        <v>178680.0073799001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127628.5766999287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153154.2920399144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178680.0073799001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587091.4528196719</v>
      </c>
      <c r="AA18" s="36">
        <f>SUM(B18:M18)</f>
        <v>459462.8761197432</v>
      </c>
      <c r="AB18" s="36">
        <f>SUM(B18:Y18)</f>
        <v>918925.7522394864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15330</v>
      </c>
      <c r="C24" s="36">
        <f>IFERROR(Calculations!$P14/12,"")</f>
        <v>15330</v>
      </c>
      <c r="D24" s="36">
        <f>IFERROR(Calculations!$P14/12,"")</f>
        <v>15330</v>
      </c>
      <c r="E24" s="36">
        <f>IFERROR(Calculations!$P14/12,"")</f>
        <v>15330</v>
      </c>
      <c r="F24" s="36">
        <f>IFERROR(Calculations!$P14/12,"")</f>
        <v>15330</v>
      </c>
      <c r="G24" s="36">
        <f>IFERROR(Calculations!$P14/12,"")</f>
        <v>15330</v>
      </c>
      <c r="H24" s="36">
        <f>IFERROR(Calculations!$P14/12,"")</f>
        <v>15330</v>
      </c>
      <c r="I24" s="36">
        <f>IFERROR(Calculations!$P14/12,"")</f>
        <v>15330</v>
      </c>
      <c r="J24" s="36">
        <f>IFERROR(Calculations!$P14/12,"")</f>
        <v>15330</v>
      </c>
      <c r="K24" s="36">
        <f>IFERROR(Calculations!$P14/12,"")</f>
        <v>15330</v>
      </c>
      <c r="L24" s="36">
        <f>IFERROR(Calculations!$P14/12,"")</f>
        <v>15330</v>
      </c>
      <c r="M24" s="36">
        <f>IFERROR(Calculations!$P14/12,"")</f>
        <v>15330</v>
      </c>
      <c r="N24" s="36">
        <f>IFERROR(Calculations!$P14/12,"")</f>
        <v>15330</v>
      </c>
      <c r="O24" s="36">
        <f>IFERROR(Calculations!$P14/12,"")</f>
        <v>15330</v>
      </c>
      <c r="P24" s="36">
        <f>IFERROR(Calculations!$P14/12,"")</f>
        <v>15330</v>
      </c>
      <c r="Q24" s="36">
        <f>IFERROR(Calculations!$P14/12,"")</f>
        <v>15330</v>
      </c>
      <c r="R24" s="36">
        <f>IFERROR(Calculations!$P14/12,"")</f>
        <v>15330</v>
      </c>
      <c r="S24" s="36">
        <f>IFERROR(Calculations!$P14/12,"")</f>
        <v>15330</v>
      </c>
      <c r="T24" s="36">
        <f>IFERROR(Calculations!$P14/12,"")</f>
        <v>15330</v>
      </c>
      <c r="U24" s="36">
        <f>IFERROR(Calculations!$P14/12,"")</f>
        <v>15330</v>
      </c>
      <c r="V24" s="36">
        <f>IFERROR(Calculations!$P14/12,"")</f>
        <v>15330</v>
      </c>
      <c r="W24" s="36">
        <f>IFERROR(Calculations!$P14/12,"")</f>
        <v>15330</v>
      </c>
      <c r="X24" s="36">
        <f>IFERROR(Calculations!$P14/12,"")</f>
        <v>15330</v>
      </c>
      <c r="Y24" s="36">
        <f>IFERROR(Calculations!$P14/12,"")</f>
        <v>15330</v>
      </c>
      <c r="Z24" s="36">
        <f>SUMIF($B$13:$Y$13,"Yes",B24:Y24)</f>
        <v>199290</v>
      </c>
      <c r="AA24" s="36">
        <f>SUM(B24:M24)</f>
        <v>183960</v>
      </c>
      <c r="AB24" s="46">
        <f>SUM(B24:Y24)</f>
        <v>367920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292958.5766999287</v>
      </c>
      <c r="C30" s="19">
        <f>SUM(C18:C29)</f>
        <v>318484.2920399144</v>
      </c>
      <c r="D30" s="19">
        <f>SUM(D18:D29)</f>
        <v>344010.0073799001</v>
      </c>
      <c r="E30" s="19">
        <f>SUM(E18:E29)</f>
        <v>165330</v>
      </c>
      <c r="F30" s="19">
        <f>SUM(F18:F29)</f>
        <v>165330</v>
      </c>
      <c r="G30" s="19">
        <f>SUM(G18:G29)</f>
        <v>165330</v>
      </c>
      <c r="H30" s="19">
        <f>SUM(H18:H29)</f>
        <v>165330</v>
      </c>
      <c r="I30" s="19">
        <f>SUM(I18:I29)</f>
        <v>165330</v>
      </c>
      <c r="J30" s="19">
        <f>SUM(J18:J29)</f>
        <v>165330</v>
      </c>
      <c r="K30" s="19">
        <f>SUM(K18:K29)</f>
        <v>165330</v>
      </c>
      <c r="L30" s="19">
        <f>SUM(L18:L29)</f>
        <v>165330</v>
      </c>
      <c r="M30" s="19">
        <f>SUM(M18:M29)</f>
        <v>165330</v>
      </c>
      <c r="N30" s="19">
        <f>SUM(N18:N29)</f>
        <v>292958.5766999287</v>
      </c>
      <c r="O30" s="19">
        <f>SUM(O18:O29)</f>
        <v>318484.2920399144</v>
      </c>
      <c r="P30" s="19">
        <f>SUM(P18:P29)</f>
        <v>344010.0073799001</v>
      </c>
      <c r="Q30" s="19">
        <f>SUM(Q18:Q29)</f>
        <v>165330</v>
      </c>
      <c r="R30" s="19">
        <f>SUM(R18:R29)</f>
        <v>165330</v>
      </c>
      <c r="S30" s="19">
        <f>SUM(S18:S29)</f>
        <v>165330</v>
      </c>
      <c r="T30" s="19">
        <f>SUM(T18:T29)</f>
        <v>165330</v>
      </c>
      <c r="U30" s="19">
        <f>SUM(U18:U29)</f>
        <v>165330</v>
      </c>
      <c r="V30" s="19">
        <f>SUM(V18:V29)</f>
        <v>165330</v>
      </c>
      <c r="W30" s="19">
        <f>SUM(W18:W29)</f>
        <v>165330</v>
      </c>
      <c r="X30" s="19">
        <f>SUM(X18:X29)</f>
        <v>165330</v>
      </c>
      <c r="Y30" s="19">
        <f>SUM(Y18:Y29)</f>
        <v>165330</v>
      </c>
      <c r="Z30" s="19">
        <f>SUMIF($B$13:$Y$13,"Yes",B30:Y30)</f>
        <v>2736381.452819672</v>
      </c>
      <c r="AA30" s="19">
        <f>SUM(B30:M30)</f>
        <v>2443422.876119743</v>
      </c>
      <c r="AB30" s="19">
        <f>SUM(B30:Y30)</f>
        <v>4886845.752239486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48000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48000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48000</v>
      </c>
      <c r="AA36" s="36">
        <f>SUM(B36:M36)</f>
        <v>48000</v>
      </c>
      <c r="AB36" s="36">
        <f>SUM(B36:Y36)</f>
        <v>96000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48000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48000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48000</v>
      </c>
      <c r="AA37" s="36">
        <f>SUM(B37:M37)</f>
        <v>48000</v>
      </c>
      <c r="AB37" s="36">
        <f>SUM(B37:Y37)</f>
        <v>96000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7272.000000000002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7272.000000000002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7272.000000000002</v>
      </c>
      <c r="AA42" s="36">
        <f>SUM(B42:M42)</f>
        <v>7272.000000000002</v>
      </c>
      <c r="AB42" s="36">
        <f>SUM(B42:Y42)</f>
        <v>14544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7272.000000000002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7272.000000000002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7272.000000000002</v>
      </c>
      <c r="AA43" s="36">
        <f>SUM(B43:M43)</f>
        <v>7272.000000000002</v>
      </c>
      <c r="AB43" s="36">
        <f>SUM(B43:Y43)</f>
        <v>14544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7200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7200</v>
      </c>
      <c r="X48" s="46">
        <f>SUM(X49:X53)</f>
        <v>0</v>
      </c>
      <c r="Y48" s="46">
        <f>SUM(Y49:Y53)</f>
        <v>0</v>
      </c>
      <c r="Z48" s="46">
        <f>SUMIF($B$13:$Y$13,"Yes",B48:Y48)</f>
        <v>7200</v>
      </c>
      <c r="AA48" s="46">
        <f>SUM(B48:M48)</f>
        <v>7200</v>
      </c>
      <c r="AB48" s="46">
        <f>SUM(B48:Y48)</f>
        <v>14400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7200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7200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7200</v>
      </c>
      <c r="AA49" s="46">
        <f>SUM(B49:M49)</f>
        <v>7200</v>
      </c>
      <c r="AB49" s="46">
        <f>SUM(B49:Y49)</f>
        <v>14400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104837.7594320842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104837.7594320842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209675.5188641685</v>
      </c>
      <c r="AA54" s="46">
        <f>SUM(B54:M54)</f>
        <v>104837.7594320842</v>
      </c>
      <c r="AB54" s="46">
        <f>SUM(B54:Y54)</f>
        <v>209675.5188641685</v>
      </c>
    </row>
    <row r="55" spans="1:30" hidden="true" outlineLevel="1">
      <c r="A55" s="181" t="str">
        <f>Calculations!$A$4</f>
        <v>Maize</v>
      </c>
      <c r="B55" s="36">
        <f>N55</f>
        <v>104837.7594320842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104837.7594320842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209675.5188641685</v>
      </c>
      <c r="AA55" s="46">
        <f>SUM(B55:M55)</f>
        <v>104837.7594320842</v>
      </c>
      <c r="AB55" s="46">
        <f>SUM(B55:Y55)</f>
        <v>209675.5188641685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8364.583333333334</v>
      </c>
      <c r="C74" s="46">
        <f>SUM(Calculations!$Q$14:$Q$16)/12</f>
        <v>8364.583333333334</v>
      </c>
      <c r="D74" s="46">
        <f>SUM(Calculations!$Q$14:$Q$16)/12</f>
        <v>8364.583333333334</v>
      </c>
      <c r="E74" s="46">
        <f>SUM(Calculations!$Q$14:$Q$16)/12</f>
        <v>8364.583333333334</v>
      </c>
      <c r="F74" s="46">
        <f>SUM(Calculations!$Q$14:$Q$16)/12</f>
        <v>8364.583333333334</v>
      </c>
      <c r="G74" s="46">
        <f>SUM(Calculations!$Q$14:$Q$16)/12</f>
        <v>8364.583333333334</v>
      </c>
      <c r="H74" s="46">
        <f>SUM(Calculations!$Q$14:$Q$16)/12</f>
        <v>8364.583333333334</v>
      </c>
      <c r="I74" s="46">
        <f>SUM(Calculations!$Q$14:$Q$16)/12</f>
        <v>8364.583333333334</v>
      </c>
      <c r="J74" s="46">
        <f>SUM(Calculations!$Q$14:$Q$16)/12</f>
        <v>8364.583333333334</v>
      </c>
      <c r="K74" s="46">
        <f>SUM(Calculations!$Q$14:$Q$16)/12</f>
        <v>8364.583333333334</v>
      </c>
      <c r="L74" s="46">
        <f>SUM(Calculations!$Q$14:$Q$16)/12</f>
        <v>8364.583333333334</v>
      </c>
      <c r="M74" s="46">
        <f>SUM(Calculations!$Q$14:$Q$16)/12</f>
        <v>8364.583333333334</v>
      </c>
      <c r="N74" s="46">
        <f>SUM(Calculations!$Q$14:$Q$16)/12</f>
        <v>8364.583333333334</v>
      </c>
      <c r="O74" s="46">
        <f>SUM(Calculations!$Q$14:$Q$16)/12</f>
        <v>8364.583333333334</v>
      </c>
      <c r="P74" s="46">
        <f>SUM(Calculations!$Q$14:$Q$16)/12</f>
        <v>8364.583333333334</v>
      </c>
      <c r="Q74" s="46">
        <f>SUM(Calculations!$Q$14:$Q$16)/12</f>
        <v>8364.583333333334</v>
      </c>
      <c r="R74" s="46">
        <f>SUM(Calculations!$Q$14:$Q$16)/12</f>
        <v>8364.583333333334</v>
      </c>
      <c r="S74" s="46">
        <f>SUM(Calculations!$Q$14:$Q$16)/12</f>
        <v>8364.583333333334</v>
      </c>
      <c r="T74" s="46">
        <f>SUM(Calculations!$Q$14:$Q$16)/12</f>
        <v>8364.583333333334</v>
      </c>
      <c r="U74" s="46">
        <f>SUM(Calculations!$Q$14:$Q$16)/12</f>
        <v>8364.583333333334</v>
      </c>
      <c r="V74" s="46">
        <f>SUM(Calculations!$Q$14:$Q$16)/12</f>
        <v>8364.583333333334</v>
      </c>
      <c r="W74" s="46">
        <f>SUM(Calculations!$Q$14:$Q$16)/12</f>
        <v>8364.583333333334</v>
      </c>
      <c r="X74" s="46">
        <f>SUM(Calculations!$Q$14:$Q$16)/12</f>
        <v>8364.583333333334</v>
      </c>
      <c r="Y74" s="46">
        <f>SUM(Calculations!$Q$14:$Q$16)/12</f>
        <v>8364.583333333334</v>
      </c>
      <c r="Z74" s="46">
        <f>SUMIF($B$13:$Y$13,"Yes",B74:Y74)</f>
        <v>108739.5833333333</v>
      </c>
      <c r="AA74" s="46">
        <f>SUM(B74:M74)</f>
        <v>100375</v>
      </c>
      <c r="AB74" s="46">
        <f>SUM(B74:Y74)</f>
        <v>200750.0000000001</v>
      </c>
    </row>
    <row r="75" spans="1:30">
      <c r="A75" s="16" t="s">
        <v>47</v>
      </c>
      <c r="B75" s="46">
        <f>SUM(Calculations!$R$14:$R$16)/12</f>
        <v>916.6666666666666</v>
      </c>
      <c r="C75" s="46">
        <f>SUM(Calculations!$R$14:$R$16)/12</f>
        <v>916.6666666666666</v>
      </c>
      <c r="D75" s="46">
        <f>SUM(Calculations!$R$14:$R$16)/12</f>
        <v>916.6666666666666</v>
      </c>
      <c r="E75" s="46">
        <f>SUM(Calculations!$R$14:$R$16)/12</f>
        <v>916.6666666666666</v>
      </c>
      <c r="F75" s="46">
        <f>SUM(Calculations!$R$14:$R$16)/12</f>
        <v>916.6666666666666</v>
      </c>
      <c r="G75" s="46">
        <f>SUM(Calculations!$R$14:$R$16)/12</f>
        <v>916.6666666666666</v>
      </c>
      <c r="H75" s="46">
        <f>SUM(Calculations!$R$14:$R$16)/12</f>
        <v>916.6666666666666</v>
      </c>
      <c r="I75" s="46">
        <f>SUM(Calculations!$R$14:$R$16)/12</f>
        <v>916.6666666666666</v>
      </c>
      <c r="J75" s="46">
        <f>SUM(Calculations!$R$14:$R$16)/12</f>
        <v>916.6666666666666</v>
      </c>
      <c r="K75" s="46">
        <f>SUM(Calculations!$R$14:$R$16)/12</f>
        <v>916.6666666666666</v>
      </c>
      <c r="L75" s="46">
        <f>SUM(Calculations!$R$14:$R$16)/12</f>
        <v>916.6666666666666</v>
      </c>
      <c r="M75" s="46">
        <f>SUM(Calculations!$R$14:$R$16)/12</f>
        <v>916.6666666666666</v>
      </c>
      <c r="N75" s="46">
        <f>SUM(Calculations!$R$14:$R$16)/12</f>
        <v>916.6666666666666</v>
      </c>
      <c r="O75" s="46">
        <f>SUM(Calculations!$R$14:$R$16)/12</f>
        <v>916.6666666666666</v>
      </c>
      <c r="P75" s="46">
        <f>SUM(Calculations!$R$14:$R$16)/12</f>
        <v>916.6666666666666</v>
      </c>
      <c r="Q75" s="46">
        <f>SUM(Calculations!$R$14:$R$16)/12</f>
        <v>916.6666666666666</v>
      </c>
      <c r="R75" s="46">
        <f>SUM(Calculations!$R$14:$R$16)/12</f>
        <v>916.6666666666666</v>
      </c>
      <c r="S75" s="46">
        <f>SUM(Calculations!$R$14:$R$16)/12</f>
        <v>916.6666666666666</v>
      </c>
      <c r="T75" s="46">
        <f>SUM(Calculations!$R$14:$R$16)/12</f>
        <v>916.6666666666666</v>
      </c>
      <c r="U75" s="46">
        <f>SUM(Calculations!$R$14:$R$16)/12</f>
        <v>916.6666666666666</v>
      </c>
      <c r="V75" s="46">
        <f>SUM(Calculations!$R$14:$R$16)/12</f>
        <v>916.6666666666666</v>
      </c>
      <c r="W75" s="46">
        <f>SUM(Calculations!$R$14:$R$16)/12</f>
        <v>916.6666666666666</v>
      </c>
      <c r="X75" s="46">
        <f>SUM(Calculations!$R$14:$R$16)/12</f>
        <v>916.6666666666666</v>
      </c>
      <c r="Y75" s="46">
        <f>SUM(Calculations!$R$14:$R$16)/12</f>
        <v>916.6666666666666</v>
      </c>
      <c r="Z75" s="46">
        <f>SUMIF($B$13:$Y$13,"Yes",B75:Y75)</f>
        <v>11916.66666666666</v>
      </c>
      <c r="AA75" s="46">
        <f>SUM(B75:M75)</f>
        <v>11000</v>
      </c>
      <c r="AB75" s="46">
        <f>SUM(B75:Y75)</f>
        <v>22000</v>
      </c>
    </row>
    <row r="76" spans="1:30">
      <c r="A76" s="16" t="s">
        <v>48</v>
      </c>
      <c r="B76" s="46">
        <f>SUM(Calculations!$S$14:$S$16)/12</f>
        <v>5500</v>
      </c>
      <c r="C76" s="46">
        <f>SUM(Calculations!$S$14:$S$16)/12</f>
        <v>5500</v>
      </c>
      <c r="D76" s="46">
        <f>SUM(Calculations!$S$14:$S$16)/12</f>
        <v>5500</v>
      </c>
      <c r="E76" s="46">
        <f>SUM(Calculations!$S$14:$S$16)/12</f>
        <v>5500</v>
      </c>
      <c r="F76" s="46">
        <f>SUM(Calculations!$S$14:$S$16)/12</f>
        <v>5500</v>
      </c>
      <c r="G76" s="46">
        <f>SUM(Calculations!$S$14:$S$16)/12</f>
        <v>5500</v>
      </c>
      <c r="H76" s="46">
        <f>SUM(Calculations!$S$14:$S$16)/12</f>
        <v>5500</v>
      </c>
      <c r="I76" s="46">
        <f>SUM(Calculations!$S$14:$S$16)/12</f>
        <v>5500</v>
      </c>
      <c r="J76" s="46">
        <f>SUM(Calculations!$S$14:$S$16)/12</f>
        <v>5500</v>
      </c>
      <c r="K76" s="46">
        <f>SUM(Calculations!$S$14:$S$16)/12</f>
        <v>5500</v>
      </c>
      <c r="L76" s="46">
        <f>SUM(Calculations!$S$14:$S$16)/12</f>
        <v>5500</v>
      </c>
      <c r="M76" s="46">
        <f>SUM(Calculations!$S$14:$S$16)/12</f>
        <v>5500</v>
      </c>
      <c r="N76" s="46">
        <f>SUM(Calculations!$S$14:$S$16)/12</f>
        <v>5500</v>
      </c>
      <c r="O76" s="46">
        <f>SUM(Calculations!$S$14:$S$16)/12</f>
        <v>5500</v>
      </c>
      <c r="P76" s="46">
        <f>SUM(Calculations!$S$14:$S$16)/12</f>
        <v>5500</v>
      </c>
      <c r="Q76" s="46">
        <f>SUM(Calculations!$S$14:$S$16)/12</f>
        <v>5500</v>
      </c>
      <c r="R76" s="46">
        <f>SUM(Calculations!$S$14:$S$16)/12</f>
        <v>5500</v>
      </c>
      <c r="S76" s="46">
        <f>SUM(Calculations!$S$14:$S$16)/12</f>
        <v>5500</v>
      </c>
      <c r="T76" s="46">
        <f>SUM(Calculations!$S$14:$S$16)/12</f>
        <v>5500</v>
      </c>
      <c r="U76" s="46">
        <f>SUM(Calculations!$S$14:$S$16)/12</f>
        <v>5500</v>
      </c>
      <c r="V76" s="46">
        <f>SUM(Calculations!$S$14:$S$16)/12</f>
        <v>5500</v>
      </c>
      <c r="W76" s="46">
        <f>SUM(Calculations!$S$14:$S$16)/12</f>
        <v>5500</v>
      </c>
      <c r="X76" s="46">
        <f>SUM(Calculations!$S$14:$S$16)/12</f>
        <v>5500</v>
      </c>
      <c r="Y76" s="46">
        <f>SUM(Calculations!$S$14:$S$16)/12</f>
        <v>5500</v>
      </c>
      <c r="Z76" s="46">
        <f>SUMIF($B$13:$Y$13,"Yes",B76:Y76)</f>
        <v>71500</v>
      </c>
      <c r="AA76" s="46">
        <f>SUM(B76:M76)</f>
        <v>66000</v>
      </c>
      <c r="AB76" s="46">
        <f>SUM(B76:Y76)</f>
        <v>132000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970000</v>
      </c>
      <c r="C79" s="46">
        <f>Inputs!$B$31</f>
        <v>970000</v>
      </c>
      <c r="D79" s="46">
        <f>Inputs!$B$31</f>
        <v>970000</v>
      </c>
      <c r="E79" s="46">
        <f>Inputs!$B$31</f>
        <v>970000</v>
      </c>
      <c r="F79" s="46">
        <f>Inputs!$B$31</f>
        <v>970000</v>
      </c>
      <c r="G79" s="46">
        <f>Inputs!$B$31</f>
        <v>970000</v>
      </c>
      <c r="H79" s="46">
        <f>Inputs!$B$31</f>
        <v>970000</v>
      </c>
      <c r="I79" s="46">
        <f>Inputs!$B$31</f>
        <v>970000</v>
      </c>
      <c r="J79" s="46">
        <f>Inputs!$B$31</f>
        <v>970000</v>
      </c>
      <c r="K79" s="46">
        <f>Inputs!$B$31</f>
        <v>970000</v>
      </c>
      <c r="L79" s="46">
        <f>Inputs!$B$31</f>
        <v>970000</v>
      </c>
      <c r="M79" s="46">
        <f>Inputs!$B$31</f>
        <v>970000</v>
      </c>
      <c r="N79" s="46">
        <f>Inputs!$B$31</f>
        <v>970000</v>
      </c>
      <c r="O79" s="46">
        <f>Inputs!$B$31</f>
        <v>970000</v>
      </c>
      <c r="P79" s="46">
        <f>Inputs!$B$31</f>
        <v>970000</v>
      </c>
      <c r="Q79" s="46">
        <f>Inputs!$B$31</f>
        <v>970000</v>
      </c>
      <c r="R79" s="46">
        <f>Inputs!$B$31</f>
        <v>970000</v>
      </c>
      <c r="S79" s="46">
        <f>Inputs!$B$31</f>
        <v>970000</v>
      </c>
      <c r="T79" s="46">
        <f>Inputs!$B$31</f>
        <v>970000</v>
      </c>
      <c r="U79" s="46">
        <f>Inputs!$B$31</f>
        <v>970000</v>
      </c>
      <c r="V79" s="46">
        <f>Inputs!$B$31</f>
        <v>970000</v>
      </c>
      <c r="W79" s="46">
        <f>Inputs!$B$31</f>
        <v>970000</v>
      </c>
      <c r="X79" s="46">
        <f>Inputs!$B$31</f>
        <v>970000</v>
      </c>
      <c r="Y79" s="46">
        <f>Inputs!$B$31</f>
        <v>970000</v>
      </c>
      <c r="Z79" s="46">
        <f>SUMIF($B$13:$Y$13,"Yes",B79:Y79)</f>
        <v>12610000</v>
      </c>
      <c r="AA79" s="46">
        <f>SUM(B79:M79)</f>
        <v>11640000</v>
      </c>
      <c r="AB79" s="46">
        <f>SUM(B79:Y79)</f>
        <v>23280000</v>
      </c>
    </row>
    <row r="80" spans="1:30">
      <c r="A80" s="16" t="s">
        <v>50</v>
      </c>
      <c r="B80" s="46">
        <f>SUMPRODUCT((Inputs!$D$35:$D$36=MONTH(Output!B35))+0,Inputs!$B$35:$B$36)</f>
        <v>120000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120000</v>
      </c>
      <c r="AA80" s="46">
        <f>SUM(B80:M80)</f>
        <v>120000</v>
      </c>
      <c r="AB80" s="46">
        <f>SUM(B80:Y80)</f>
        <v>120000</v>
      </c>
    </row>
    <row r="81" spans="1:30">
      <c r="A81" s="43" t="s">
        <v>51</v>
      </c>
      <c r="B81" s="46">
        <f>(SUM($AA$18:$AA$29)-SUM($AA$36,$AA$42,$AA$48,$AA$54,$AA$60,$AA$66,$AA$72:$AA$79))*Parameters!$B$37/12</f>
        <v>-318042.0627770781</v>
      </c>
      <c r="C81" s="46">
        <f>(SUM($AA$18:$AA$29)-SUM($AA$36,$AA$42,$AA$48,$AA$54,$AA$60,$AA$66,$AA$72:$AA$79))*Parameters!$B$37/12</f>
        <v>-318042.0627770781</v>
      </c>
      <c r="D81" s="46">
        <f>(SUM($AA$18:$AA$29)-SUM($AA$36,$AA$42,$AA$48,$AA$54,$AA$60,$AA$66,$AA$72:$AA$79))*Parameters!$B$37/12</f>
        <v>-318042.0627770781</v>
      </c>
      <c r="E81" s="46">
        <f>(SUM($AA$18:$AA$29)-SUM($AA$36,$AA$42,$AA$48,$AA$54,$AA$60,$AA$66,$AA$72:$AA$79))*Parameters!$B$37/12</f>
        <v>-318042.0627770781</v>
      </c>
      <c r="F81" s="46">
        <f>(SUM($AA$18:$AA$29)-SUM($AA$36,$AA$42,$AA$48,$AA$54,$AA$60,$AA$66,$AA$72:$AA$79))*Parameters!$B$37/12</f>
        <v>-318042.0627770781</v>
      </c>
      <c r="G81" s="46">
        <f>(SUM($AA$18:$AA$29)-SUM($AA$36,$AA$42,$AA$48,$AA$54,$AA$60,$AA$66,$AA$72:$AA$79))*Parameters!$B$37/12</f>
        <v>-318042.0627770781</v>
      </c>
      <c r="H81" s="46">
        <f>(SUM($AA$18:$AA$29)-SUM($AA$36,$AA$42,$AA$48,$AA$54,$AA$60,$AA$66,$AA$72:$AA$79))*Parameters!$B$37/12</f>
        <v>-318042.0627770781</v>
      </c>
      <c r="I81" s="46">
        <f>(SUM($AA$18:$AA$29)-SUM($AA$36,$AA$42,$AA$48,$AA$54,$AA$60,$AA$66,$AA$72:$AA$79))*Parameters!$B$37/12</f>
        <v>-318042.0627770781</v>
      </c>
      <c r="J81" s="46">
        <f>(SUM($AA$18:$AA$29)-SUM($AA$36,$AA$42,$AA$48,$AA$54,$AA$60,$AA$66,$AA$72:$AA$79))*Parameters!$B$37/12</f>
        <v>-318042.0627770781</v>
      </c>
      <c r="K81" s="46">
        <f>(SUM($AA$18:$AA$29)-SUM($AA$36,$AA$42,$AA$48,$AA$54,$AA$60,$AA$66,$AA$72:$AA$79))*Parameters!$B$37/12</f>
        <v>-318042.0627770781</v>
      </c>
      <c r="L81" s="46">
        <f>(SUM($AA$18:$AA$29)-SUM($AA$36,$AA$42,$AA$48,$AA$54,$AA$60,$AA$66,$AA$72:$AA$79))*Parameters!$B$37/12</f>
        <v>-318042.0627770781</v>
      </c>
      <c r="M81" s="46">
        <f>(SUM($AA$18:$AA$29)-SUM($AA$36,$AA$42,$AA$48,$AA$54,$AA$60,$AA$66,$AA$72:$AA$79))*Parameters!$B$37/12</f>
        <v>-318042.0627770781</v>
      </c>
      <c r="N81" s="46">
        <f>(SUM($AA$18:$AA$29)-SUM($AA$36,$AA$42,$AA$48,$AA$54,$AA$60,$AA$66,$AA$72:$AA$79))*Parameters!$B$37/12</f>
        <v>-318042.0627770781</v>
      </c>
      <c r="O81" s="46">
        <f>(SUM($AA$18:$AA$29)-SUM($AA$36,$AA$42,$AA$48,$AA$54,$AA$60,$AA$66,$AA$72:$AA$79))*Parameters!$B$37/12</f>
        <v>-318042.0627770781</v>
      </c>
      <c r="P81" s="46">
        <f>(SUM($AA$18:$AA$29)-SUM($AA$36,$AA$42,$AA$48,$AA$54,$AA$60,$AA$66,$AA$72:$AA$79))*Parameters!$B$37/12</f>
        <v>-318042.0627770781</v>
      </c>
      <c r="Q81" s="46">
        <f>(SUM($AA$18:$AA$29)-SUM($AA$36,$AA$42,$AA$48,$AA$54,$AA$60,$AA$66,$AA$72:$AA$79))*Parameters!$B$37/12</f>
        <v>-318042.0627770781</v>
      </c>
      <c r="R81" s="46">
        <f>(SUM($AA$18:$AA$29)-SUM($AA$36,$AA$42,$AA$48,$AA$54,$AA$60,$AA$66,$AA$72:$AA$79))*Parameters!$B$37/12</f>
        <v>-318042.0627770781</v>
      </c>
      <c r="S81" s="46">
        <f>(SUM($AA$18:$AA$29)-SUM($AA$36,$AA$42,$AA$48,$AA$54,$AA$60,$AA$66,$AA$72:$AA$79))*Parameters!$B$37/12</f>
        <v>-318042.0627770781</v>
      </c>
      <c r="T81" s="46">
        <f>(SUM($AA$18:$AA$29)-SUM($AA$36,$AA$42,$AA$48,$AA$54,$AA$60,$AA$66,$AA$72:$AA$79))*Parameters!$B$37/12</f>
        <v>-318042.0627770781</v>
      </c>
      <c r="U81" s="46">
        <f>(SUM($AA$18:$AA$29)-SUM($AA$36,$AA$42,$AA$48,$AA$54,$AA$60,$AA$66,$AA$72:$AA$79))*Parameters!$B$37/12</f>
        <v>-318042.0627770781</v>
      </c>
      <c r="V81" s="46">
        <f>(SUM($AA$18:$AA$29)-SUM($AA$36,$AA$42,$AA$48,$AA$54,$AA$60,$AA$66,$AA$72:$AA$79))*Parameters!$B$37/12</f>
        <v>-318042.0627770781</v>
      </c>
      <c r="W81" s="46">
        <f>(SUM($AA$18:$AA$29)-SUM($AA$36,$AA$42,$AA$48,$AA$54,$AA$60,$AA$66,$AA$72:$AA$79))*Parameters!$B$37/12</f>
        <v>-318042.0627770781</v>
      </c>
      <c r="X81" s="46">
        <f>(SUM($AA$18:$AA$29)-SUM($AA$36,$AA$42,$AA$48,$AA$54,$AA$60,$AA$66,$AA$72:$AA$79))*Parameters!$B$37/12</f>
        <v>-318042.0627770781</v>
      </c>
      <c r="Y81" s="46">
        <f>(SUM($AA$18:$AA$29)-SUM($AA$36,$AA$42,$AA$48,$AA$54,$AA$60,$AA$66,$AA$72:$AA$79))*Parameters!$B$37/12</f>
        <v>-318042.0627770781</v>
      </c>
      <c r="Z81" s="46">
        <f>SUMIF($B$13:$Y$13,"Yes",B81:Y81)</f>
        <v>-4134546.816102016</v>
      </c>
      <c r="AA81" s="46">
        <f>SUM(B81:M81)</f>
        <v>-3816504.753324938</v>
      </c>
      <c r="AB81" s="46">
        <f>SUM(B81:Y81)</f>
        <v>-7633009.506649871</v>
      </c>
    </row>
    <row r="82" spans="1:30">
      <c r="A82" s="16" t="s">
        <v>52</v>
      </c>
      <c r="B82" s="46">
        <f>SUM(B83:B87)</f>
        <v>7600.851970181045</v>
      </c>
      <c r="C82" s="46">
        <f>SUM(C83:C87)</f>
        <v>7600.851970181045</v>
      </c>
      <c r="D82" s="46">
        <f>SUM(D83:D87)</f>
        <v>5198.296059637912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20400</v>
      </c>
      <c r="AA82" s="46">
        <f>SUM(B82:M82)</f>
        <v>20400</v>
      </c>
      <c r="AB82" s="46">
        <f>SUM(B82:Y82)</f>
        <v>20400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7600.851970181045</v>
      </c>
      <c r="C83" s="46">
        <f>IF(Calculations!$E23&gt;COUNT(Output!$B$35:C$35),Calculations!$B23,IF(Calculations!$E23=COUNT(Output!$B$35:C$35),Inputs!$B56-Calculations!$C23*(Calculations!$E23-1)+Calculations!$D23,0))</f>
        <v>7600.851970181045</v>
      </c>
      <c r="D83" s="46">
        <f>IF(Calculations!$E23&gt;COUNT(Output!$B$35:D$35),Calculations!$B23,IF(Calculations!$E23=COUNT(Output!$B$35:D$35),Inputs!$B56-Calculations!$C23*(Calculations!$E23-1)+Calculations!$D23,0))</f>
        <v>5198.296059637912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20400</v>
      </c>
      <c r="AA83" s="46">
        <f>SUM(B83:M83)</f>
        <v>20400</v>
      </c>
      <c r="AB83" s="46">
        <f>SUM(B83:Y83)</f>
        <v>20400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899177.7986251874</v>
      </c>
      <c r="C88" s="19">
        <f>SUM(C72:C82,C66,C60,C54,C48,C42,C36)</f>
        <v>674340.0391931031</v>
      </c>
      <c r="D88" s="19">
        <f>SUM(D72:D82,D66,D60,D54,D48,D42,D36)</f>
        <v>671937.4832825599</v>
      </c>
      <c r="E88" s="19">
        <f>SUM(E72:E82,E66,E60,E54,E48,E42,E36)</f>
        <v>666739.187222922</v>
      </c>
      <c r="F88" s="19">
        <f>SUM(F72:F82,F66,F60,F54,F48,F42,F36)</f>
        <v>666739.187222922</v>
      </c>
      <c r="G88" s="19">
        <f>SUM(G72:G82,G66,G60,G54,G48,G42,G36)</f>
        <v>666739.187222922</v>
      </c>
      <c r="H88" s="19">
        <f>SUM(H72:H82,H66,H60,H54,H48,H42,H36)</f>
        <v>722011.187222922</v>
      </c>
      <c r="I88" s="19">
        <f>SUM(I72:I82,I66,I60,I54,I48,I42,I36)</f>
        <v>666739.187222922</v>
      </c>
      <c r="J88" s="19">
        <f>SUM(J72:J82,J66,J60,J54,J48,J42,J36)</f>
        <v>666739.187222922</v>
      </c>
      <c r="K88" s="19">
        <f>SUM(K72:K82,K66,K60,K54,K48,K42,K36)</f>
        <v>673939.187222922</v>
      </c>
      <c r="L88" s="19">
        <f>SUM(L72:L82,L66,L60,L54,L48,L42,L36)</f>
        <v>666739.187222922</v>
      </c>
      <c r="M88" s="19">
        <f>SUM(M72:M82,M66,M60,M54,M48,M42,M36)</f>
        <v>666739.187222922</v>
      </c>
      <c r="N88" s="19">
        <f>SUM(N72:N82,N66,N60,N54,N48,N42,N36)</f>
        <v>771576.9466550063</v>
      </c>
      <c r="O88" s="19">
        <f>SUM(O72:O82,O66,O60,O54,O48,O42,O36)</f>
        <v>666739.187222922</v>
      </c>
      <c r="P88" s="19">
        <f>SUM(P72:P82,P66,P60,P54,P48,P42,P36)</f>
        <v>666739.187222922</v>
      </c>
      <c r="Q88" s="19">
        <f>SUM(Q72:Q82,Q66,Q60,Q54,Q48,Q42,Q36)</f>
        <v>666739.187222922</v>
      </c>
      <c r="R88" s="19">
        <f>SUM(R72:R82,R66,R60,R54,R48,R42,R36)</f>
        <v>666739.187222922</v>
      </c>
      <c r="S88" s="19">
        <f>SUM(S72:S82,S66,S60,S54,S48,S42,S36)</f>
        <v>666739.187222922</v>
      </c>
      <c r="T88" s="19">
        <f>SUM(T72:T82,T66,T60,T54,T48,T42,T36)</f>
        <v>722011.187222922</v>
      </c>
      <c r="U88" s="19">
        <f>SUM(U72:U82,U66,U60,U54,U48,U42,U36)</f>
        <v>666739.187222922</v>
      </c>
      <c r="V88" s="19">
        <f>SUM(V72:V82,V66,V60,V54,V48,V42,V36)</f>
        <v>666739.187222922</v>
      </c>
      <c r="W88" s="19">
        <f>SUM(W72:W82,W66,W60,W54,W48,W42,W36)</f>
        <v>673939.187222922</v>
      </c>
      <c r="X88" s="19">
        <f>SUM(X72:X82,X66,X60,X54,X48,X42,X36)</f>
        <v>666739.187222922</v>
      </c>
      <c r="Y88" s="19">
        <f>SUM(Y72:Y82,Y66,Y60,Y54,Y48,Y42,Y36)</f>
        <v>666739.187222922</v>
      </c>
      <c r="Z88" s="19">
        <f>SUMIF($B$13:$Y$13,"Yes",B88:Y88)</f>
        <v>9080156.952762157</v>
      </c>
      <c r="AA88" s="19">
        <f>SUM(B88:M88)</f>
        <v>8308580.006107151</v>
      </c>
      <c r="AB88" s="19">
        <f>SUM(B88:Y88)</f>
        <v>16476760.0122143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550000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72000000</v>
      </c>
    </row>
    <row r="98" spans="1:30">
      <c r="A98" t="s">
        <v>64</v>
      </c>
      <c r="B98" s="36">
        <f>IF(Inputs!B44="Yes",Inputs!B45,0)</f>
        <v>100000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74375000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16000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166000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11</v>
      </c>
      <c r="D19" s="145">
        <v>3</v>
      </c>
      <c r="E19" s="20"/>
      <c r="F19" s="145" t="s">
        <v>93</v>
      </c>
      <c r="G19" s="20"/>
      <c r="H19" s="20"/>
      <c r="I19" s="145" t="s">
        <v>109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150000</v>
      </c>
    </row>
    <row r="31" spans="1:48">
      <c r="A31" s="5" t="s">
        <v>116</v>
      </c>
      <c r="B31" s="158">
        <v>970000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120000</v>
      </c>
      <c r="C35" s="145" t="s">
        <v>123</v>
      </c>
      <c r="D35" s="49">
        <f>IFERROR(VLOOKUP(C35,Parameters!$C$79:$D$90,2,0),"")</f>
        <v>8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100000</v>
      </c>
    </row>
    <row r="46" spans="1:48" customHeight="1" ht="30">
      <c r="A46" s="57" t="s">
        <v>132</v>
      </c>
      <c r="B46" s="161">
        <v>50000</v>
      </c>
    </row>
    <row r="47" spans="1:48" customHeight="1" ht="30">
      <c r="A47" s="57" t="s">
        <v>133</v>
      </c>
      <c r="B47" s="161">
        <v>150000</v>
      </c>
    </row>
    <row r="48" spans="1:48" customHeight="1" ht="30">
      <c r="A48" s="57" t="s">
        <v>134</v>
      </c>
      <c r="B48" s="161">
        <v>1500000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80000</v>
      </c>
      <c r="B56" s="159">
        <v>16000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148</v>
      </c>
      <c r="C65" s="10" t="s">
        <v>149</v>
      </c>
    </row>
    <row r="66" spans="1:48">
      <c r="A66" s="142" t="s">
        <v>123</v>
      </c>
      <c r="B66" s="159">
        <v>250000</v>
      </c>
      <c r="C66" s="163">
        <v>150000</v>
      </c>
      <c r="D66" s="49">
        <f>INDEX(Parameters!$D$79:$D$90,MATCH(Inputs!A66,Parameters!$C$79:$C$90,0))</f>
        <v>8</v>
      </c>
    </row>
    <row r="67" spans="1:48">
      <c r="A67" s="143" t="s">
        <v>150</v>
      </c>
      <c r="B67" s="157">
        <v>170000</v>
      </c>
      <c r="C67" s="165">
        <v>100000</v>
      </c>
      <c r="D67" s="49">
        <f>INDEX(Parameters!$D$79:$D$90,MATCH(Inputs!A67,Parameters!$C$79:$C$90,0))</f>
        <v>9</v>
      </c>
    </row>
    <row r="68" spans="1:48">
      <c r="A68" s="143" t="s">
        <v>151</v>
      </c>
      <c r="B68" s="157">
        <v>270000</v>
      </c>
      <c r="C68" s="165">
        <v>100000</v>
      </c>
      <c r="D68" s="49">
        <f>INDEX(Parameters!$D$79:$D$90,MATCH(Inputs!A68,Parameters!$C$79:$C$90,0))</f>
        <v>10</v>
      </c>
    </row>
    <row r="69" spans="1:48">
      <c r="A69" s="143" t="s">
        <v>152</v>
      </c>
      <c r="B69" s="157">
        <v>450000</v>
      </c>
      <c r="C69" s="165">
        <v>200000</v>
      </c>
      <c r="D69" s="49">
        <f>INDEX(Parameters!$D$79:$D$90,MATCH(Inputs!A69,Parameters!$C$79:$C$90,0))</f>
        <v>11</v>
      </c>
    </row>
    <row r="70" spans="1:48">
      <c r="A70" s="143" t="s">
        <v>153</v>
      </c>
      <c r="B70" s="157">
        <v>120000</v>
      </c>
      <c r="C70" s="165">
        <v>80000</v>
      </c>
      <c r="D70" s="49">
        <f>INDEX(Parameters!$D$79:$D$90,MATCH(Inputs!A70,Parameters!$C$79:$C$90,0))</f>
        <v>12</v>
      </c>
    </row>
    <row r="71" spans="1:48">
      <c r="A71" s="144" t="s">
        <v>154</v>
      </c>
      <c r="B71" s="158">
        <v>100000</v>
      </c>
      <c r="C71" s="167">
        <v>80000</v>
      </c>
      <c r="D71" s="49">
        <f>INDEX(Parameters!$D$79:$D$90,MATCH(Inputs!A71,Parameters!$C$79:$C$90,0))</f>
        <v>1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20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150000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43313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43313</v>
      </c>
      <c r="H4" s="20">
        <f>Inputs!C7</f>
        <v>12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22790.8172678444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382885.730099786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3636.000000000001</v>
      </c>
      <c r="W4" s="33">
        <f>IFERROR(J4*H4*Parameters!$B$35+IF(OR(Inputs!F7=Parameters!$E$78,Inputs!F7=Parameters!$E$80),Calculations!H4*Parameters!$B$36,0),0)</f>
        <v>24000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52418.87971604212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11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183960</v>
      </c>
      <c r="Q14" s="63">
        <f>IFERROR(D14*INDEX(Parameters!$A$22:$P$29,MATCH(Calculations!$A14,Parameters!$A$22:$A$29,0),MATCH(Parameters!$L$22,Parameters!$A$22:$P$22,0))*IF(Inputs!I19="Always",1,IF(Inputs!I19="Sometimes",0.5,0))*365,"")</f>
        <v>100375</v>
      </c>
      <c r="R14" s="63">
        <f>IFERROR(D14*INDEX(Parameters!$A$22:$P$29,MATCH(Calculations!$A14,Parameters!$A$22:$A$29,0),MATCH(Parameters!$M$22,Parameters!$A$22:$P$22,0)),"")</f>
        <v>11000</v>
      </c>
      <c r="S14" s="63">
        <f>IFERROR(D14*INDEX(Parameters!$A$22:$P$29,MATCH(Calculations!$A14,Parameters!$A$22:$A$29,0),MATCH(Parameters!$N$22,Parameters!$A$22:$P$22,0)),"")</f>
        <v>66000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80000</v>
      </c>
      <c r="B23" s="75">
        <f>SUM(C23:D23)</f>
        <v>7600.851970181045</v>
      </c>
      <c r="C23" s="75">
        <f>IF(Inputs!B56&gt;0,(Inputs!A56-Inputs!B56)/(DATE(YEAR(Inputs!$B$76),MONTH(Inputs!$B$76),DAY(Inputs!$B$76))-DATE(YEAR(Inputs!C56),MONTH(Inputs!C56),DAY(Inputs!C56)))*30,0)</f>
        <v>6134.185303514378</v>
      </c>
      <c r="D23" s="75">
        <f>IF(Inputs!B56&gt;0,Inputs!A56*0.22/12,0)</f>
        <v>1466.666666666667</v>
      </c>
      <c r="E23" s="75">
        <f>IFERROR(ROUNDUP(Inputs!B56/C23,0),0)</f>
        <v>3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42980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42979</v>
      </c>
      <c r="F33" t="s">
        <v>160</v>
      </c>
      <c r="G33" s="128">
        <f>IF(Inputs!B79="","",DATE(YEAR(Inputs!B79),MONTH(Inputs!B79),DAY(Inputs!B79)))</f>
        <v>42949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43010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43009</v>
      </c>
      <c r="F34" t="s">
        <v>161</v>
      </c>
      <c r="G34" s="128">
        <f>IF(Inputs!B80="","",DATE(YEAR(Inputs!B80),MONTH(Inputs!B80),DAY(Inputs!B80)))</f>
        <v>42980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43041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43040</v>
      </c>
      <c r="F35" t="s">
        <v>163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43071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43070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43102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43101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43133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43132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43161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43160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43192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43191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43222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43221</v>
      </c>
      <c r="F41" t="s">
        <v>227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43253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43252</v>
      </c>
      <c r="F42" t="s">
        <v>228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43283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43314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314</v>
      </c>
      <c r="H52" s="12" t="s">
        <v>315</v>
      </c>
      <c r="I52" s="12" t="s">
        <v>129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109</v>
      </c>
      <c r="H78" s="12" t="s">
        <v>129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361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123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