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<sst xmlns="http://schemas.openxmlformats.org/spreadsheetml/2006/main" uniqueCount="369">
  <si>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</si>
  <si>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</si>
  <si>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</si>
  <si>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</si>
  <si>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</si>
  <si>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</si>
  <si>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</si>
  <si>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</si>
  <si>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</si>
  <si>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</si>
  <si>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</si>
  <si>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</si>
  <si>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</si>
  <si>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</si>
  <si>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</si>
  <si>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</si>
  <si>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</si>
  <si>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</si>
  <si>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</si>
  <si>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</si>
  <si>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</si>
  <si>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</si>
  <si>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</si>
  <si>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</si>
  <si>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</si>
  <si>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</si>
  <si>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</si>
  <si>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</si>
  <si>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</si>
  <si>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</si>
  <si>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</si>
  <si>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</si>
  <si>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</si>
  <si>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</si>
  <si>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</si>
  <si>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</si>
  <si>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</si>
  <si>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</si>
  <si>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</si>
  <si>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</si>
  <si>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</si>
  <si>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</si>
  <si>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</si>
  <si>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</si>
  <si>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</si>
  <si>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</si>
  <si>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</si>
  <si>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</si>
  <si>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</si>
  <si>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</si>
  <si>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</si>
  <si>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</si>
  <si>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</si>
  <si>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</si>
  <si>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</si>
  <si>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</si>
  <si>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</si>
  <si>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</si>
  <si>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</si>
  <si>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</si>
  <si>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</si>
  <si>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</si>
  <si>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</si>
  <si>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</si>
  <si>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</si>
  <si>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</si>
  <si>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</si>
  <si>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</si>
  <si>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</si>
  <si>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</si>
  <si>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</si>
  <si>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</si>
  <si>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</si>
  <si>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</si>
  <si>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</si>
  <si>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</si>
  <si>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</si>
  <si>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</si>
  <si>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</si>
  <si>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</si>
  <si>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</si>
  <si>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</si>
  <si>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</si>
  <si>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</si>
  <si>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</si>
  <si>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</si>
  <si>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</si>
  <si>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</si>
  <si>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</si>
  <si>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</si>
  <si>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</si>
  <si>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</si>
  <si>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</si>
  <si>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</si>
  <si>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</si>
  <si>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</si>
  <si>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</si>
  <si>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</si>
  <si>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</si>
  <si>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</si>
  <si>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</si>
  <si>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</si>
  <si>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</si>
  <si>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</si>
  <si>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</si>
  <si>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</si>
  <si>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taxi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</si>
  <si>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</si>
  <si>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</si>
  <si>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</si>
  <si>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</si>
  <si>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</si>
  <si>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</si>
  <si>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</si>
  <si>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building</t>
  </si>
  <si>
    <t>January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</si>
  <si>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</si>
  <si>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</si>
  <si>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</si>
  <si>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</si>
  <si>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</si>
  <si>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</si>
  <si>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</si>
  <si>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</si>
  <si>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</si>
  <si>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</si>
  <si>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</si>
  <si>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</si>
  <si>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</si>
  <si>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</si>
  <si>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</si>
  <si>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</si>
  <si>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</si>
  <si>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</si>
  <si>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</si>
  <si>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</si>
  <si>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</si>
  <si>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4/19/2017</t>
  </si>
  <si>
    <t>Premier Kenya Limited</t>
  </si>
  <si>
    <t>serviced as required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</si>
  <si>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</si>
  <si>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</si>
  <si>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</si>
  <si>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</si>
  <si>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</si>
  <si>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</si>
  <si>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</si>
  <si>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</si>
  <si>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</si>
  <si>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</si>
  <si>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</si>
  <si>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</si>
  <si>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2017/8/16</t>
  </si>
  <si>
    <t>Loan terms</t>
  </si>
  <si>
    <t>Expected disbursement date</t>
  </si>
  <si>
    <t>Expected first repayment date</t>
  </si>
  <si>
    <t>2017/9/16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</si>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</sst>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taxi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10.75733414106138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0.4377988235294117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-352439.6666666666</v>
      </c>
    </row>
    <row r="18" spans="1:7">
      <c r="B18" s="1" t="s">
        <v>12</v>
      </c>
      <c r="C18" s="36">
        <f>MIN(Output!B6:M6)</f>
        <v>-351371.6358543417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7488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-1371.63585434173</v>
      </c>
      <c r="C6" s="51">
        <f>C30-C88</f>
        <v>-1371.63585434173</v>
      </c>
      <c r="D6" s="51">
        <f>D30-D88</f>
        <v>-1371.63585434173</v>
      </c>
      <c r="E6" s="51">
        <f>E30-E88</f>
        <v>-1371.63585434173</v>
      </c>
      <c r="F6" s="51">
        <f>F30-F88</f>
        <v>-1371.63585434173</v>
      </c>
      <c r="G6" s="51">
        <f>G30-G88</f>
        <v>-351371.6358543417</v>
      </c>
      <c r="H6" s="51">
        <f>H30-H88</f>
        <v>-1371.63585434173</v>
      </c>
      <c r="I6" s="51">
        <f>I30-I88</f>
        <v>-1371.63585434173</v>
      </c>
      <c r="J6" s="51">
        <f>J30-J88</f>
        <v>-1371.63585434173</v>
      </c>
      <c r="K6" s="51">
        <f>K30-K88</f>
        <v>-1371.63585434173</v>
      </c>
      <c r="L6" s="51">
        <f>L30-L88</f>
        <v>3788.691876750701</v>
      </c>
      <c r="M6" s="51">
        <f>M30-M88</f>
        <v>7488</v>
      </c>
      <c r="N6" s="51">
        <f>N30-N88</f>
        <v>7488</v>
      </c>
      <c r="O6" s="51">
        <f>O30-O88</f>
        <v>7488</v>
      </c>
      <c r="P6" s="51">
        <f>P30-P88</f>
        <v>7488</v>
      </c>
      <c r="Q6" s="51">
        <f>Q30-Q88</f>
        <v>7488</v>
      </c>
      <c r="R6" s="51">
        <f>R30-R88</f>
        <v>7488</v>
      </c>
      <c r="S6" s="51">
        <f>S30-S88</f>
        <v>7488</v>
      </c>
      <c r="T6" s="51">
        <f>T30-T88</f>
        <v>7488</v>
      </c>
      <c r="U6" s="51">
        <f>U30-U88</f>
        <v>7488</v>
      </c>
      <c r="V6" s="51">
        <f>V30-V88</f>
        <v>7488</v>
      </c>
      <c r="W6" s="51">
        <f>W30-W88</f>
        <v>7488</v>
      </c>
      <c r="X6" s="51">
        <f>X30-X88</f>
        <v>7488</v>
      </c>
      <c r="Y6" s="51">
        <f>Y30-Y88</f>
        <v>7488</v>
      </c>
      <c r="Z6" s="51">
        <f>SUMIF($B$13:$Y$13,"Yes",B6:Y6)</f>
        <v>-262583.6666666666</v>
      </c>
      <c r="AA6" s="51">
        <f>AA30-AA88</f>
        <v>-352439.6666666667</v>
      </c>
      <c r="AB6" s="51">
        <f>AB30-AB88</f>
        <v>-262583.6666666667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-14936</v>
      </c>
      <c r="I7" s="80">
        <f>IF(ISERROR(VLOOKUP(MONTH(I5),Inputs!$D$66:$D$71,1,0)),"",INDEX(Inputs!$B$66:$B$71,MATCH(MONTH(Output!I5),Inputs!$D$66:$D$71,0))-INDEX(Inputs!$C$66:$C$71,MATCH(MONTH(Output!I5),Inputs!$D$66:$D$71,0)))</f>
        <v>99</v>
      </c>
      <c r="J7" s="80">
        <f>IF(ISERROR(VLOOKUP(MONTH(J5),Inputs!$D$66:$D$71,1,0)),"",INDEX(Inputs!$B$66:$B$71,MATCH(MONTH(Output!J5),Inputs!$D$66:$D$71,0))-INDEX(Inputs!$C$66:$C$71,MATCH(MONTH(Output!J5),Inputs!$D$66:$D$71,0)))</f>
        <v>9258</v>
      </c>
      <c r="K7" s="80">
        <f>IF(ISERROR(VLOOKUP(MONTH(K5),Inputs!$D$66:$D$71,1,0)),"",INDEX(Inputs!$B$66:$B$71,MATCH(MONTH(Output!K5),Inputs!$D$66:$D$71,0))-INDEX(Inputs!$C$66:$C$71,MATCH(MONTH(Output!K5),Inputs!$D$66:$D$71,0)))</f>
        <v>-7335</v>
      </c>
      <c r="L7" s="80">
        <f>IF(ISERROR(VLOOKUP(MONTH(L5),Inputs!$D$66:$D$71,1,0)),"",INDEX(Inputs!$B$66:$B$71,MATCH(MONTH(Output!L5),Inputs!$D$66:$D$71,0))-INDEX(Inputs!$C$66:$C$71,MATCH(MONTH(Output!L5),Inputs!$D$66:$D$71,0)))</f>
        <v>-1940</v>
      </c>
      <c r="M7" s="80">
        <f>IF(ISERROR(VLOOKUP(MONTH(M5),Inputs!$D$66:$D$71,1,0)),"",INDEX(Inputs!$B$66:$B$71,MATCH(MONTH(Output!M5),Inputs!$D$66:$D$71,0))-INDEX(Inputs!$C$66:$C$71,MATCH(MONTH(Output!M5),Inputs!$D$66:$D$71,0)))</f>
        <v>17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-14936</v>
      </c>
      <c r="U7" s="80">
        <f>IF(ISERROR(VLOOKUP(MONTH(U5),Inputs!$D$66:$D$71,1,0)),"",INDEX(Inputs!$B$66:$B$71,MATCH(MONTH(Output!U5),Inputs!$D$66:$D$71,0))-INDEX(Inputs!$C$66:$C$71,MATCH(MONTH(Output!U5),Inputs!$D$66:$D$71,0)))</f>
        <v>99</v>
      </c>
      <c r="V7" s="80">
        <f>IF(ISERROR(VLOOKUP(MONTH(V5),Inputs!$D$66:$D$71,1,0)),"",INDEX(Inputs!$B$66:$B$71,MATCH(MONTH(Output!V5),Inputs!$D$66:$D$71,0))-INDEX(Inputs!$C$66:$C$71,MATCH(MONTH(Output!V5),Inputs!$D$66:$D$71,0)))</f>
        <v>9258</v>
      </c>
      <c r="W7" s="80">
        <f>IF(ISERROR(VLOOKUP(MONTH(W5),Inputs!$D$66:$D$71,1,0)),"",INDEX(Inputs!$B$66:$B$71,MATCH(MONTH(Output!W5),Inputs!$D$66:$D$71,0))-INDEX(Inputs!$C$66:$C$71,MATCH(MONTH(Output!W5),Inputs!$D$66:$D$71,0)))</f>
        <v>-7335</v>
      </c>
      <c r="X7" s="80">
        <f>IF(ISERROR(VLOOKUP(MONTH(X5),Inputs!$D$66:$D$71,1,0)),"",INDEX(Inputs!$B$66:$B$71,MATCH(MONTH(Output!X5),Inputs!$D$66:$D$71,0))-INDEX(Inputs!$C$66:$C$71,MATCH(MONTH(Output!X5),Inputs!$D$66:$D$71,0)))</f>
        <v>-1940</v>
      </c>
      <c r="Y7" s="80">
        <f>IF(ISERROR(VLOOKUP(MONTH(Y5),Inputs!$D$66:$D$71,1,0)),"",INDEX(Inputs!$B$66:$B$71,MATCH(MONTH(Output!Y5),Inputs!$D$66:$D$71,0))-INDEX(Inputs!$C$66:$C$71,MATCH(MONTH(Output!Y5),Inputs!$D$66:$D$71,0)))</f>
        <v>17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298628.3641456583</v>
      </c>
      <c r="C11" s="80">
        <f>C6+C9-C10</f>
        <v>-18871.63585434173</v>
      </c>
      <c r="D11" s="80">
        <f>D6+D9-D10</f>
        <v>-18871.63585434173</v>
      </c>
      <c r="E11" s="80">
        <f>E6+E9-E10</f>
        <v>-18871.63585434173</v>
      </c>
      <c r="F11" s="80">
        <f>F6+F9-F10</f>
        <v>-18871.63585434173</v>
      </c>
      <c r="G11" s="80">
        <f>G6+G9-G10</f>
        <v>-368871.6358543417</v>
      </c>
      <c r="H11" s="80">
        <f>H6+H9-H10</f>
        <v>-18871.63585434173</v>
      </c>
      <c r="I11" s="80">
        <f>I6+I9-I10</f>
        <v>-18871.63585434173</v>
      </c>
      <c r="J11" s="80">
        <f>J6+J9-J10</f>
        <v>-18871.63585434173</v>
      </c>
      <c r="K11" s="80">
        <f>K6+K9-K10</f>
        <v>-18871.63585434173</v>
      </c>
      <c r="L11" s="80">
        <f>L6+L9-L10</f>
        <v>-13711.3081232493</v>
      </c>
      <c r="M11" s="80">
        <f>M6+M9-M10</f>
        <v>-10012</v>
      </c>
      <c r="N11" s="80">
        <f>N6+N9-N10</f>
        <v>-10012</v>
      </c>
      <c r="O11" s="80">
        <f>O6+O9-O10</f>
        <v>-10012</v>
      </c>
      <c r="P11" s="80">
        <f>P6+P9-P10</f>
        <v>-10012</v>
      </c>
      <c r="Q11" s="80">
        <f>Q6+Q9-Q10</f>
        <v>-10012</v>
      </c>
      <c r="R11" s="80">
        <f>R6+R9-R10</f>
        <v>-10012</v>
      </c>
      <c r="S11" s="80">
        <f>S6+S9-S10</f>
        <v>-10012</v>
      </c>
      <c r="T11" s="80">
        <f>T6+T9-T10</f>
        <v>-10012</v>
      </c>
      <c r="U11" s="80">
        <f>U6+U9-U10</f>
        <v>-10012</v>
      </c>
      <c r="V11" s="80">
        <f>V6+V9-V10</f>
        <v>-10012</v>
      </c>
      <c r="W11" s="80">
        <f>W6+W9-W10</f>
        <v>-10012</v>
      </c>
      <c r="X11" s="80">
        <f>X6+X9-X10</f>
        <v>-10012</v>
      </c>
      <c r="Y11" s="80">
        <f>Y6+Y9-Y10</f>
        <v>-10012</v>
      </c>
      <c r="Z11" s="85">
        <f>SUMIF($B$13:$Y$13,"Yes",B11:Y11)</f>
        <v>-365083.6666666666</v>
      </c>
      <c r="AA11" s="80">
        <f>SUM(B11:M11)</f>
        <v>-244939.6666666666</v>
      </c>
      <c r="AB11" s="46">
        <f>SUM(B11:Y11)</f>
        <v>-365083.6666666666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0.05887166995543902</v>
      </c>
      <c r="D12" s="82">
        <f>IF(D13="Yes",IF(SUM($B$10:D10)/(SUM($B$6:D6)+SUM($B$9:D9))&lt;0,999.99,SUM($B$10:D10)/(SUM($B$6:D6)+SUM($B$9:D9))),"")</f>
        <v>0.1182891632414877</v>
      </c>
      <c r="E12" s="82">
        <f>IF(E13="Yes",IF(SUM($B$10:E10)/(SUM($B$6:E6)+SUM($B$9:E9))&lt;0,999.99,SUM($B$10:E10)/(SUM($B$6:E6)+SUM($B$9:E9))),"")</f>
        <v>0.1782601060378707</v>
      </c>
      <c r="F12" s="82">
        <f>IF(F13="Yes",IF(SUM($B$10:F10)/(SUM($B$6:F6)+SUM($B$9:F9))&lt;0,999.99,SUM($B$10:F10)/(SUM($B$6:F6)+SUM($B$9:F9))),"")</f>
        <v>0.2387922672585224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>
        <f>IF(P13="Yes",IF(SUM($B$10:P10)/(SUM($B$6:P6)+SUM($B$9:P9))&lt;0,999.99,SUM($B$10:P10)/(SUM($B$6:P6)+SUM($B$9:P9))),"")</f>
        <v>999.99</v>
      </c>
      <c r="Q12" s="82">
        <f>IF(Q13="Yes",IF(SUM($B$10:Q10)/(SUM($B$6:Q6)+SUM($B$9:Q9))&lt;0,999.99,SUM($B$10:Q10)/(SUM($B$6:Q6)+SUM($B$9:Q9))),"")</f>
        <v>999.99</v>
      </c>
      <c r="R12" s="82">
        <f>IF(R13="Yes",IF(SUM($B$10:R10)/(SUM($B$6:R6)+SUM($B$9:R9))&lt;0,999.99,SUM($B$10:R10)/(SUM($B$6:R6)+SUM($B$9:R9))),"")</f>
        <v>999.99</v>
      </c>
      <c r="S12" s="82">
        <f>IF(S13="Yes",IF(SUM($B$10:S10)/(SUM($B$6:S6)+SUM($B$9:S9))&lt;0,999.99,SUM($B$10:S10)/(SUM($B$6:S6)+SUM($B$9:S9))),"")</f>
        <v>999.99</v>
      </c>
      <c r="T12" s="82">
        <f>IF(T13="Yes",IF(SUM($B$10:T10)/(SUM($B$6:T6)+SUM($B$9:T9))&lt;0,999.99,SUM($B$10:T10)/(SUM($B$6:T6)+SUM($B$9:T9))),"")</f>
        <v>999.99</v>
      </c>
      <c r="U12" s="82">
        <f>IF(U13="Yes",IF(SUM($B$10:U10)/(SUM($B$6:U6)+SUM($B$9:U9))&lt;0,999.99,SUM($B$10:U10)/(SUM($B$6:U6)+SUM($B$9:U9))),"")</f>
        <v>44.54517036573906</v>
      </c>
      <c r="V12" s="82">
        <f>IF(V13="Yes",IF(SUM($B$10:V10)/(SUM($B$6:V6)+SUM($B$9:V9))&lt;0,999.99,SUM($B$10:V10)/(SUM($B$6:V6)+SUM($B$9:V9))),"")</f>
        <v>23.40771785897401</v>
      </c>
      <c r="W12" s="82">
        <f>IF(W13="Yes",IF(SUM($B$10:W10)/(SUM($B$6:W6)+SUM($B$9:W9))&lt;0,999.99,SUM($B$10:W10)/(SUM($B$6:W6)+SUM($B$9:W9))),"")</f>
        <v>16.37676208018297</v>
      </c>
      <c r="X12" s="82">
        <f>IF(X13="Yes",IF(SUM($B$10:X10)/(SUM($B$6:X6)+SUM($B$9:X9))&lt;0,999.99,SUM($B$10:X10)/(SUM($B$6:X6)+SUM($B$9:X9))),"")</f>
        <v>12.86406415325498</v>
      </c>
      <c r="Y12" s="82">
        <f>IF(Y13="Yes",IF(SUM($B$10:Y10)/(SUM($B$6:Y6)+SUM($B$9:Y9))&lt;0,999.99,SUM($B$10:Y10)/(SUM($B$6:Y6)+SUM($B$9:Y9))),"")</f>
        <v>10.75733414106138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72690</v>
      </c>
      <c r="C29" s="37">
        <f>Inputs!$B$30</f>
        <v>72690</v>
      </c>
      <c r="D29" s="37">
        <f>Inputs!$B$30</f>
        <v>72690</v>
      </c>
      <c r="E29" s="37">
        <f>Inputs!$B$30</f>
        <v>72690</v>
      </c>
      <c r="F29" s="37">
        <f>Inputs!$B$30</f>
        <v>72690</v>
      </c>
      <c r="G29" s="37">
        <f>Inputs!$B$30</f>
        <v>72690</v>
      </c>
      <c r="H29" s="37">
        <f>Inputs!$B$30</f>
        <v>72690</v>
      </c>
      <c r="I29" s="37">
        <f>Inputs!$B$30</f>
        <v>72690</v>
      </c>
      <c r="J29" s="37">
        <f>Inputs!$B$30</f>
        <v>72690</v>
      </c>
      <c r="K29" s="37">
        <f>Inputs!$B$30</f>
        <v>72690</v>
      </c>
      <c r="L29" s="37">
        <f>Inputs!$B$30</f>
        <v>72690</v>
      </c>
      <c r="M29" s="37">
        <f>Inputs!$B$30</f>
        <v>72690</v>
      </c>
      <c r="N29" s="37">
        <f>Inputs!$B$30</f>
        <v>72690</v>
      </c>
      <c r="O29" s="37">
        <f>Inputs!$B$30</f>
        <v>72690</v>
      </c>
      <c r="P29" s="37">
        <f>Inputs!$B$30</f>
        <v>72690</v>
      </c>
      <c r="Q29" s="37">
        <f>Inputs!$B$30</f>
        <v>72690</v>
      </c>
      <c r="R29" s="37">
        <f>Inputs!$B$30</f>
        <v>72690</v>
      </c>
      <c r="S29" s="37">
        <f>Inputs!$B$30</f>
        <v>72690</v>
      </c>
      <c r="T29" s="37">
        <f>Inputs!$B$30</f>
        <v>72690</v>
      </c>
      <c r="U29" s="37">
        <f>Inputs!$B$30</f>
        <v>72690</v>
      </c>
      <c r="V29" s="37">
        <f>Inputs!$B$30</f>
        <v>72690</v>
      </c>
      <c r="W29" s="37">
        <f>Inputs!$B$30</f>
        <v>72690</v>
      </c>
      <c r="X29" s="37">
        <f>Inputs!$B$30</f>
        <v>72690</v>
      </c>
      <c r="Y29" s="37">
        <f>Inputs!$B$30</f>
        <v>72690</v>
      </c>
      <c r="Z29" s="37">
        <f>SUMIF($B$13:$Y$13,"Yes",B29:Y29)</f>
        <v>1744560</v>
      </c>
      <c r="AA29" s="37">
        <f>SUM(B29:M29)</f>
        <v>872280</v>
      </c>
      <c r="AB29" s="37">
        <f>SUM(B29:Y29)</f>
        <v>1744560</v>
      </c>
    </row>
    <row r="30" spans="1:30" customHeight="1" ht="15.75">
      <c r="A30" s="1" t="s">
        <v>37</v>
      </c>
      <c r="B30" s="19">
        <f>SUM(B18:B29)</f>
        <v>72690</v>
      </c>
      <c r="C30" s="19">
        <f>SUM(C18:C29)</f>
        <v>72690</v>
      </c>
      <c r="D30" s="19">
        <f>SUM(D18:D29)</f>
        <v>72690</v>
      </c>
      <c r="E30" s="19">
        <f>SUM(E18:E29)</f>
        <v>72690</v>
      </c>
      <c r="F30" s="19">
        <f>SUM(F18:F29)</f>
        <v>72690</v>
      </c>
      <c r="G30" s="19">
        <f>SUM(G18:G29)</f>
        <v>72690</v>
      </c>
      <c r="H30" s="19">
        <f>SUM(H18:H29)</f>
        <v>72690</v>
      </c>
      <c r="I30" s="19">
        <f>SUM(I18:I29)</f>
        <v>72690</v>
      </c>
      <c r="J30" s="19">
        <f>SUM(J18:J29)</f>
        <v>72690</v>
      </c>
      <c r="K30" s="19">
        <f>SUM(K18:K29)</f>
        <v>72690</v>
      </c>
      <c r="L30" s="19">
        <f>SUM(L18:L29)</f>
        <v>72690</v>
      </c>
      <c r="M30" s="19">
        <f>SUM(M18:M29)</f>
        <v>72690</v>
      </c>
      <c r="N30" s="19">
        <f>SUM(N18:N29)</f>
        <v>72690</v>
      </c>
      <c r="O30" s="19">
        <f>SUM(O18:O29)</f>
        <v>72690</v>
      </c>
      <c r="P30" s="19">
        <f>SUM(P18:P29)</f>
        <v>72690</v>
      </c>
      <c r="Q30" s="19">
        <f>SUM(Q18:Q29)</f>
        <v>72690</v>
      </c>
      <c r="R30" s="19">
        <f>SUM(R18:R29)</f>
        <v>72690</v>
      </c>
      <c r="S30" s="19">
        <f>SUM(S18:S29)</f>
        <v>72690</v>
      </c>
      <c r="T30" s="19">
        <f>SUM(T18:T29)</f>
        <v>72690</v>
      </c>
      <c r="U30" s="19">
        <f>SUM(U18:U29)</f>
        <v>72690</v>
      </c>
      <c r="V30" s="19">
        <f>SUM(V18:V29)</f>
        <v>72690</v>
      </c>
      <c r="W30" s="19">
        <f>SUM(W18:W29)</f>
        <v>72690</v>
      </c>
      <c r="X30" s="19">
        <f>SUM(X18:X29)</f>
        <v>72690</v>
      </c>
      <c r="Y30" s="19">
        <f>SUM(Y18:Y29)</f>
        <v>72690</v>
      </c>
      <c r="Z30" s="19">
        <f>SUMIF($B$13:$Y$13,"Yes",B30:Y30)</f>
        <v>1744560</v>
      </c>
      <c r="AA30" s="19">
        <f>SUM(B30:M30)</f>
        <v>872280</v>
      </c>
      <c r="AB30" s="19">
        <f>SUM(B30:Y30)</f>
        <v>1744560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60210</v>
      </c>
      <c r="C79" s="46">
        <f>Inputs!$B$31</f>
        <v>60210</v>
      </c>
      <c r="D79" s="46">
        <f>Inputs!$B$31</f>
        <v>60210</v>
      </c>
      <c r="E79" s="46">
        <f>Inputs!$B$31</f>
        <v>60210</v>
      </c>
      <c r="F79" s="46">
        <f>Inputs!$B$31</f>
        <v>60210</v>
      </c>
      <c r="G79" s="46">
        <f>Inputs!$B$31</f>
        <v>60210</v>
      </c>
      <c r="H79" s="46">
        <f>Inputs!$B$31</f>
        <v>60210</v>
      </c>
      <c r="I79" s="46">
        <f>Inputs!$B$31</f>
        <v>60210</v>
      </c>
      <c r="J79" s="46">
        <f>Inputs!$B$31</f>
        <v>60210</v>
      </c>
      <c r="K79" s="46">
        <f>Inputs!$B$31</f>
        <v>60210</v>
      </c>
      <c r="L79" s="46">
        <f>Inputs!$B$31</f>
        <v>60210</v>
      </c>
      <c r="M79" s="46">
        <f>Inputs!$B$31</f>
        <v>60210</v>
      </c>
      <c r="N79" s="46">
        <f>Inputs!$B$31</f>
        <v>60210</v>
      </c>
      <c r="O79" s="46">
        <f>Inputs!$B$31</f>
        <v>60210</v>
      </c>
      <c r="P79" s="46">
        <f>Inputs!$B$31</f>
        <v>60210</v>
      </c>
      <c r="Q79" s="46">
        <f>Inputs!$B$31</f>
        <v>60210</v>
      </c>
      <c r="R79" s="46">
        <f>Inputs!$B$31</f>
        <v>60210</v>
      </c>
      <c r="S79" s="46">
        <f>Inputs!$B$31</f>
        <v>60210</v>
      </c>
      <c r="T79" s="46">
        <f>Inputs!$B$31</f>
        <v>60210</v>
      </c>
      <c r="U79" s="46">
        <f>Inputs!$B$31</f>
        <v>60210</v>
      </c>
      <c r="V79" s="46">
        <f>Inputs!$B$31</f>
        <v>60210</v>
      </c>
      <c r="W79" s="46">
        <f>Inputs!$B$31</f>
        <v>60210</v>
      </c>
      <c r="X79" s="46">
        <f>Inputs!$B$31</f>
        <v>60210</v>
      </c>
      <c r="Y79" s="46">
        <f>Inputs!$B$31</f>
        <v>60210</v>
      </c>
      <c r="Z79" s="46">
        <f>SUMIF($B$13:$Y$13,"Yes",B79:Y79)</f>
        <v>1445040</v>
      </c>
      <c r="AA79" s="46">
        <f>SUM(B79:M79)</f>
        <v>722520</v>
      </c>
      <c r="AB79" s="46">
        <f>SUM(B79:Y79)</f>
        <v>1445040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350000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350000</v>
      </c>
      <c r="AA80" s="46">
        <f>SUM(B80:M80)</f>
        <v>350000</v>
      </c>
      <c r="AB80" s="46">
        <f>SUM(B80:Y80)</f>
        <v>350000</v>
      </c>
    </row>
    <row r="81" spans="1:30">
      <c r="A81" s="43" t="s">
        <v>51</v>
      </c>
      <c r="B81" s="46">
        <f>(SUM($AA$18:$AA$29)-SUM($AA$36,$AA$42,$AA$48,$AA$54,$AA$60,$AA$66,$AA$72:$AA$79))*Parameters!$B$37/12</f>
        <v>4992</v>
      </c>
      <c r="C81" s="46">
        <f>(SUM($AA$18:$AA$29)-SUM($AA$36,$AA$42,$AA$48,$AA$54,$AA$60,$AA$66,$AA$72:$AA$79))*Parameters!$B$37/12</f>
        <v>4992</v>
      </c>
      <c r="D81" s="46">
        <f>(SUM($AA$18:$AA$29)-SUM($AA$36,$AA$42,$AA$48,$AA$54,$AA$60,$AA$66,$AA$72:$AA$79))*Parameters!$B$37/12</f>
        <v>4992</v>
      </c>
      <c r="E81" s="46">
        <f>(SUM($AA$18:$AA$29)-SUM($AA$36,$AA$42,$AA$48,$AA$54,$AA$60,$AA$66,$AA$72:$AA$79))*Parameters!$B$37/12</f>
        <v>4992</v>
      </c>
      <c r="F81" s="46">
        <f>(SUM($AA$18:$AA$29)-SUM($AA$36,$AA$42,$AA$48,$AA$54,$AA$60,$AA$66,$AA$72:$AA$79))*Parameters!$B$37/12</f>
        <v>4992</v>
      </c>
      <c r="G81" s="46">
        <f>(SUM($AA$18:$AA$29)-SUM($AA$36,$AA$42,$AA$48,$AA$54,$AA$60,$AA$66,$AA$72:$AA$79))*Parameters!$B$37/12</f>
        <v>4992</v>
      </c>
      <c r="H81" s="46">
        <f>(SUM($AA$18:$AA$29)-SUM($AA$36,$AA$42,$AA$48,$AA$54,$AA$60,$AA$66,$AA$72:$AA$79))*Parameters!$B$37/12</f>
        <v>4992</v>
      </c>
      <c r="I81" s="46">
        <f>(SUM($AA$18:$AA$29)-SUM($AA$36,$AA$42,$AA$48,$AA$54,$AA$60,$AA$66,$AA$72:$AA$79))*Parameters!$B$37/12</f>
        <v>4992</v>
      </c>
      <c r="J81" s="46">
        <f>(SUM($AA$18:$AA$29)-SUM($AA$36,$AA$42,$AA$48,$AA$54,$AA$60,$AA$66,$AA$72:$AA$79))*Parameters!$B$37/12</f>
        <v>4992</v>
      </c>
      <c r="K81" s="46">
        <f>(SUM($AA$18:$AA$29)-SUM($AA$36,$AA$42,$AA$48,$AA$54,$AA$60,$AA$66,$AA$72:$AA$79))*Parameters!$B$37/12</f>
        <v>4992</v>
      </c>
      <c r="L81" s="46">
        <f>(SUM($AA$18:$AA$29)-SUM($AA$36,$AA$42,$AA$48,$AA$54,$AA$60,$AA$66,$AA$72:$AA$79))*Parameters!$B$37/12</f>
        <v>4992</v>
      </c>
      <c r="M81" s="46">
        <f>(SUM($AA$18:$AA$29)-SUM($AA$36,$AA$42,$AA$48,$AA$54,$AA$60,$AA$66,$AA$72:$AA$79))*Parameters!$B$37/12</f>
        <v>4992</v>
      </c>
      <c r="N81" s="46">
        <f>(SUM($AA$18:$AA$29)-SUM($AA$36,$AA$42,$AA$48,$AA$54,$AA$60,$AA$66,$AA$72:$AA$79))*Parameters!$B$37/12</f>
        <v>4992</v>
      </c>
      <c r="O81" s="46">
        <f>(SUM($AA$18:$AA$29)-SUM($AA$36,$AA$42,$AA$48,$AA$54,$AA$60,$AA$66,$AA$72:$AA$79))*Parameters!$B$37/12</f>
        <v>4992</v>
      </c>
      <c r="P81" s="46">
        <f>(SUM($AA$18:$AA$29)-SUM($AA$36,$AA$42,$AA$48,$AA$54,$AA$60,$AA$66,$AA$72:$AA$79))*Parameters!$B$37/12</f>
        <v>4992</v>
      </c>
      <c r="Q81" s="46">
        <f>(SUM($AA$18:$AA$29)-SUM($AA$36,$AA$42,$AA$48,$AA$54,$AA$60,$AA$66,$AA$72:$AA$79))*Parameters!$B$37/12</f>
        <v>4992</v>
      </c>
      <c r="R81" s="46">
        <f>(SUM($AA$18:$AA$29)-SUM($AA$36,$AA$42,$AA$48,$AA$54,$AA$60,$AA$66,$AA$72:$AA$79))*Parameters!$B$37/12</f>
        <v>4992</v>
      </c>
      <c r="S81" s="46">
        <f>(SUM($AA$18:$AA$29)-SUM($AA$36,$AA$42,$AA$48,$AA$54,$AA$60,$AA$66,$AA$72:$AA$79))*Parameters!$B$37/12</f>
        <v>4992</v>
      </c>
      <c r="T81" s="46">
        <f>(SUM($AA$18:$AA$29)-SUM($AA$36,$AA$42,$AA$48,$AA$54,$AA$60,$AA$66,$AA$72:$AA$79))*Parameters!$B$37/12</f>
        <v>4992</v>
      </c>
      <c r="U81" s="46">
        <f>(SUM($AA$18:$AA$29)-SUM($AA$36,$AA$42,$AA$48,$AA$54,$AA$60,$AA$66,$AA$72:$AA$79))*Parameters!$B$37/12</f>
        <v>4992</v>
      </c>
      <c r="V81" s="46">
        <f>(SUM($AA$18:$AA$29)-SUM($AA$36,$AA$42,$AA$48,$AA$54,$AA$60,$AA$66,$AA$72:$AA$79))*Parameters!$B$37/12</f>
        <v>4992</v>
      </c>
      <c r="W81" s="46">
        <f>(SUM($AA$18:$AA$29)-SUM($AA$36,$AA$42,$AA$48,$AA$54,$AA$60,$AA$66,$AA$72:$AA$79))*Parameters!$B$37/12</f>
        <v>4992</v>
      </c>
      <c r="X81" s="46">
        <f>(SUM($AA$18:$AA$29)-SUM($AA$36,$AA$42,$AA$48,$AA$54,$AA$60,$AA$66,$AA$72:$AA$79))*Parameters!$B$37/12</f>
        <v>4992</v>
      </c>
      <c r="Y81" s="46">
        <f>(SUM($AA$18:$AA$29)-SUM($AA$36,$AA$42,$AA$48,$AA$54,$AA$60,$AA$66,$AA$72:$AA$79))*Parameters!$B$37/12</f>
        <v>4992</v>
      </c>
      <c r="Z81" s="46">
        <f>SUMIF($B$13:$Y$13,"Yes",B81:Y81)</f>
        <v>119808</v>
      </c>
      <c r="AA81" s="46">
        <f>SUM(B81:M81)</f>
        <v>59904</v>
      </c>
      <c r="AB81" s="46">
        <f>SUM(B81:Y81)</f>
        <v>119808</v>
      </c>
    </row>
    <row r="82" spans="1:30">
      <c r="A82" s="16" t="s">
        <v>52</v>
      </c>
      <c r="B82" s="46">
        <f>SUM(B83:B87)</f>
        <v>8859.635854341737</v>
      </c>
      <c r="C82" s="46">
        <f>SUM(C83:C87)</f>
        <v>8859.635854341737</v>
      </c>
      <c r="D82" s="46">
        <f>SUM(D83:D87)</f>
        <v>8859.635854341737</v>
      </c>
      <c r="E82" s="46">
        <f>SUM(E83:E87)</f>
        <v>8859.635854341737</v>
      </c>
      <c r="F82" s="46">
        <f>SUM(F83:F87)</f>
        <v>8859.635854341737</v>
      </c>
      <c r="G82" s="46">
        <f>SUM(G83:G87)</f>
        <v>8859.635854341737</v>
      </c>
      <c r="H82" s="46">
        <f>SUM(H83:H87)</f>
        <v>8859.635854341737</v>
      </c>
      <c r="I82" s="46">
        <f>SUM(I83:I87)</f>
        <v>8859.635854341737</v>
      </c>
      <c r="J82" s="46">
        <f>SUM(J83:J87)</f>
        <v>8859.635854341737</v>
      </c>
      <c r="K82" s="46">
        <f>SUM(K83:K87)</f>
        <v>8859.635854341737</v>
      </c>
      <c r="L82" s="46">
        <f>SUM(L83:L87)</f>
        <v>3699.308123249303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92295.66666666666</v>
      </c>
      <c r="AA82" s="46">
        <f>SUM(B82:M82)</f>
        <v>92295.66666666666</v>
      </c>
      <c r="AB82" s="46">
        <f>SUM(B82:Y82)</f>
        <v>92295.66666666666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8859.635854341737</v>
      </c>
      <c r="C83" s="46">
        <f>IF(Calculations!$E23&gt;COUNT(Output!$B$35:C$35),Calculations!$B23,IF(Calculations!$E23=COUNT(Output!$B$35:C$35),Inputs!$B56-Calculations!$C23*(Calculations!$E23-1)+Calculations!$D23,0))</f>
        <v>8859.635854341737</v>
      </c>
      <c r="D83" s="46">
        <f>IF(Calculations!$E23&gt;COUNT(Output!$B$35:D$35),Calculations!$B23,IF(Calculations!$E23=COUNT(Output!$B$35:D$35),Inputs!$B56-Calculations!$C23*(Calculations!$E23-1)+Calculations!$D23,0))</f>
        <v>8859.635854341737</v>
      </c>
      <c r="E83" s="46">
        <f>IF(Calculations!$E23&gt;COUNT(Output!$B$35:E$35),Calculations!$B23,IF(Calculations!$E23=COUNT(Output!$B$35:E$35),Inputs!$B56-Calculations!$C23*(Calculations!$E23-1)+Calculations!$D23,0))</f>
        <v>8859.635854341737</v>
      </c>
      <c r="F83" s="46">
        <f>IF(Calculations!$E23&gt;COUNT(Output!$B$35:F$35),Calculations!$B23,IF(Calculations!$E23=COUNT(Output!$B$35:F$35),Inputs!$B56-Calculations!$C23*(Calculations!$E23-1)+Calculations!$D23,0))</f>
        <v>8859.635854341737</v>
      </c>
      <c r="G83" s="46">
        <f>IF(Calculations!$E23&gt;COUNT(Output!$B$35:G$35),Calculations!$B23,IF(Calculations!$E23=COUNT(Output!$B$35:G$35),Inputs!$B56-Calculations!$C23*(Calculations!$E23-1)+Calculations!$D23,0))</f>
        <v>8859.635854341737</v>
      </c>
      <c r="H83" s="46">
        <f>IF(Calculations!$E23&gt;COUNT(Output!$B$35:H$35),Calculations!$B23,IF(Calculations!$E23=COUNT(Output!$B$35:H$35),Inputs!$B56-Calculations!$C23*(Calculations!$E23-1)+Calculations!$D23,0))</f>
        <v>8859.635854341737</v>
      </c>
      <c r="I83" s="46">
        <f>IF(Calculations!$E23&gt;COUNT(Output!$B$35:I$35),Calculations!$B23,IF(Calculations!$E23=COUNT(Output!$B$35:I$35),Inputs!$B56-Calculations!$C23*(Calculations!$E23-1)+Calculations!$D23,0))</f>
        <v>8859.635854341737</v>
      </c>
      <c r="J83" s="46">
        <f>IF(Calculations!$E23&gt;COUNT(Output!$B$35:J$35),Calculations!$B23,IF(Calculations!$E23=COUNT(Output!$B$35:J$35),Inputs!$B56-Calculations!$C23*(Calculations!$E23-1)+Calculations!$D23,0))</f>
        <v>8859.635854341737</v>
      </c>
      <c r="K83" s="46">
        <f>IF(Calculations!$E23&gt;COUNT(Output!$B$35:K$35),Calculations!$B23,IF(Calculations!$E23=COUNT(Output!$B$35:K$35),Inputs!$B56-Calculations!$C23*(Calculations!$E23-1)+Calculations!$D23,0))</f>
        <v>8859.635854341737</v>
      </c>
      <c r="L83" s="46">
        <f>IF(Calculations!$E23&gt;COUNT(Output!$B$35:L$35),Calculations!$B23,IF(Calculations!$E23=COUNT(Output!$B$35:L$35),Inputs!$B56-Calculations!$C23*(Calculations!$E23-1)+Calculations!$D23,0))</f>
        <v>3699.308123249303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92295.66666666666</v>
      </c>
      <c r="AA83" s="46">
        <f>SUM(B83:M83)</f>
        <v>92295.66666666666</v>
      </c>
      <c r="AB83" s="46">
        <f>SUM(B83:Y83)</f>
        <v>92295.66666666666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74061.63585434173</v>
      </c>
      <c r="C88" s="19">
        <f>SUM(C72:C82,C66,C60,C54,C48,C42,C36)</f>
        <v>74061.63585434173</v>
      </c>
      <c r="D88" s="19">
        <f>SUM(D72:D82,D66,D60,D54,D48,D42,D36)</f>
        <v>74061.63585434173</v>
      </c>
      <c r="E88" s="19">
        <f>SUM(E72:E82,E66,E60,E54,E48,E42,E36)</f>
        <v>74061.63585434173</v>
      </c>
      <c r="F88" s="19">
        <f>SUM(F72:F82,F66,F60,F54,F48,F42,F36)</f>
        <v>74061.63585434173</v>
      </c>
      <c r="G88" s="19">
        <f>SUM(G72:G82,G66,G60,G54,G48,G42,G36)</f>
        <v>424061.6358543417</v>
      </c>
      <c r="H88" s="19">
        <f>SUM(H72:H82,H66,H60,H54,H48,H42,H36)</f>
        <v>74061.63585434173</v>
      </c>
      <c r="I88" s="19">
        <f>SUM(I72:I82,I66,I60,I54,I48,I42,I36)</f>
        <v>74061.63585434173</v>
      </c>
      <c r="J88" s="19">
        <f>SUM(J72:J82,J66,J60,J54,J48,J42,J36)</f>
        <v>74061.63585434173</v>
      </c>
      <c r="K88" s="19">
        <f>SUM(K72:K82,K66,K60,K54,K48,K42,K36)</f>
        <v>74061.63585434173</v>
      </c>
      <c r="L88" s="19">
        <f>SUM(L72:L82,L66,L60,L54,L48,L42,L36)</f>
        <v>68901.3081232493</v>
      </c>
      <c r="M88" s="19">
        <f>SUM(M72:M82,M66,M60,M54,M48,M42,M36)</f>
        <v>65202</v>
      </c>
      <c r="N88" s="19">
        <f>SUM(N72:N82,N66,N60,N54,N48,N42,N36)</f>
        <v>65202</v>
      </c>
      <c r="O88" s="19">
        <f>SUM(O72:O82,O66,O60,O54,O48,O42,O36)</f>
        <v>65202</v>
      </c>
      <c r="P88" s="19">
        <f>SUM(P72:P82,P66,P60,P54,P48,P42,P36)</f>
        <v>65202</v>
      </c>
      <c r="Q88" s="19">
        <f>SUM(Q72:Q82,Q66,Q60,Q54,Q48,Q42,Q36)</f>
        <v>65202</v>
      </c>
      <c r="R88" s="19">
        <f>SUM(R72:R82,R66,R60,R54,R48,R42,R36)</f>
        <v>65202</v>
      </c>
      <c r="S88" s="19">
        <f>SUM(S72:S82,S66,S60,S54,S48,S42,S36)</f>
        <v>65202</v>
      </c>
      <c r="T88" s="19">
        <f>SUM(T72:T82,T66,T60,T54,T48,T42,T36)</f>
        <v>65202</v>
      </c>
      <c r="U88" s="19">
        <f>SUM(U72:U82,U66,U60,U54,U48,U42,U36)</f>
        <v>65202</v>
      </c>
      <c r="V88" s="19">
        <f>SUM(V72:V82,V66,V60,V54,V48,V42,V36)</f>
        <v>65202</v>
      </c>
      <c r="W88" s="19">
        <f>SUM(W72:W82,W66,W60,W54,W48,W42,W36)</f>
        <v>65202</v>
      </c>
      <c r="X88" s="19">
        <f>SUM(X72:X82,X66,X60,X54,X48,X42,X36)</f>
        <v>65202</v>
      </c>
      <c r="Y88" s="19">
        <f>SUM(Y72:Y82,Y66,Y60,Y54,Y48,Y42,Y36)</f>
        <v>65202</v>
      </c>
      <c r="Z88" s="19">
        <f>SUMIF($B$13:$Y$13,"Yes",B88:Y88)</f>
        <v>2007143.666666667</v>
      </c>
      <c r="AA88" s="19">
        <f>SUM(B88:M88)</f>
        <v>1224719.666666667</v>
      </c>
      <c r="AB88" s="19">
        <f>SUM(B88:Y88)</f>
        <v>2007143.666666667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420000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850000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72129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372129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72690</v>
      </c>
    </row>
    <row r="31" spans="1:48">
      <c r="A31" s="5" t="s">
        <v>108</v>
      </c>
      <c r="B31" s="158">
        <v>60210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 t="s">
        <v>114</v>
      </c>
      <c r="B35" s="159">
        <v>350000</v>
      </c>
      <c r="C35" s="145" t="s">
        <v>115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118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118</v>
      </c>
    </row>
    <row r="45" spans="1:48">
      <c r="A45" s="56" t="s">
        <v>124</v>
      </c>
      <c r="B45" s="161">
        <v>400000</v>
      </c>
    </row>
    <row r="46" spans="1:48" customHeight="1" ht="30">
      <c r="A46" s="57" t="s">
        <v>125</v>
      </c>
      <c r="B46" s="161">
        <v>420000</v>
      </c>
    </row>
    <row r="47" spans="1:48" customHeight="1" ht="30">
      <c r="A47" s="57" t="s">
        <v>126</v>
      </c>
      <c r="B47" s="161">
        <v>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30000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100000</v>
      </c>
      <c r="B56" s="159">
        <v>72129</v>
      </c>
      <c r="C56" s="162" t="s">
        <v>137</v>
      </c>
      <c r="D56" s="163" t="s">
        <v>138</v>
      </c>
      <c r="E56" s="163" t="s">
        <v>118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141</v>
      </c>
      <c r="C65" s="10" t="s">
        <v>142</v>
      </c>
    </row>
    <row r="66" spans="1:48">
      <c r="A66" s="142" t="s">
        <v>143</v>
      </c>
      <c r="B66" s="159">
        <v>58275</v>
      </c>
      <c r="C66" s="163">
        <v>58258</v>
      </c>
      <c r="D66" s="49">
        <f>INDEX(Parameters!$D$79:$D$90,MATCH(Inputs!A66,Parameters!$C$79:$C$90,0))</f>
        <v>7</v>
      </c>
    </row>
    <row r="67" spans="1:48">
      <c r="A67" s="143" t="s">
        <v>144</v>
      </c>
      <c r="B67" s="157">
        <v>60132</v>
      </c>
      <c r="C67" s="165">
        <v>62072</v>
      </c>
      <c r="D67" s="49">
        <f>INDEX(Parameters!$D$79:$D$90,MATCH(Inputs!A67,Parameters!$C$79:$C$90,0))</f>
        <v>6</v>
      </c>
    </row>
    <row r="68" spans="1:48">
      <c r="A68" s="143" t="s">
        <v>145</v>
      </c>
      <c r="B68" s="157">
        <v>64432</v>
      </c>
      <c r="C68" s="165">
        <v>71767</v>
      </c>
      <c r="D68" s="49">
        <f>INDEX(Parameters!$D$79:$D$90,MATCH(Inputs!A68,Parameters!$C$79:$C$90,0))</f>
        <v>5</v>
      </c>
    </row>
    <row r="69" spans="1:48">
      <c r="A69" s="143" t="s">
        <v>146</v>
      </c>
      <c r="B69" s="157">
        <v>34385</v>
      </c>
      <c r="C69" s="165">
        <v>25127</v>
      </c>
      <c r="D69" s="49">
        <f>INDEX(Parameters!$D$79:$D$90,MATCH(Inputs!A69,Parameters!$C$79:$C$90,0))</f>
        <v>4</v>
      </c>
    </row>
    <row r="70" spans="1:48">
      <c r="A70" s="143" t="s">
        <v>147</v>
      </c>
      <c r="B70" s="157">
        <v>31434</v>
      </c>
      <c r="C70" s="165">
        <v>31335</v>
      </c>
      <c r="D70" s="49">
        <f>INDEX(Parameters!$D$79:$D$90,MATCH(Inputs!A70,Parameters!$C$79:$C$90,0))</f>
        <v>3</v>
      </c>
    </row>
    <row r="71" spans="1:48">
      <c r="A71" s="144" t="s">
        <v>148</v>
      </c>
      <c r="B71" s="158">
        <v>14945</v>
      </c>
      <c r="C71" s="167">
        <v>29881</v>
      </c>
      <c r="D71" s="49">
        <f>INDEX(Parameters!$D$79:$D$90,MATCH(Inputs!A71,Parameters!$C$79:$C$90,0))</f>
        <v>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16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300000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24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8</v>
      </c>
      <c r="AD4" s="60">
        <f>IF($A4=0,1/12,IFERROR(INDEX(Parameters!$X$2:$AI$17,MATCH(Calculations!$A4,Parameters!$A$2:$A$17,0),MONTH(Calculations!AD$3)),1/12))</f>
        <v>9</v>
      </c>
      <c r="AE4" s="60">
        <f>IF($A4=0,1/12,IFERROR(INDEX(Parameters!$X$2:$AI$17,MATCH(Calculations!$A4,Parameters!$A$2:$A$17,0),MONTH(Calculations!AE$3)),1/12))</f>
        <v>10</v>
      </c>
      <c r="AF4" s="60">
        <f>IF($A4=0,1/12,IFERROR(INDEX(Parameters!$X$2:$AI$17,MATCH(Calculations!$A4,Parameters!$A$2:$A$17,0),MONTH(Calculations!AF$3)),1/12))</f>
        <v>11</v>
      </c>
      <c r="AG4" s="60">
        <f>IF($A4=0,1/12,IFERROR(INDEX(Parameters!$X$2:$AI$17,MATCH(Calculations!$A4,Parameters!$A$2:$A$17,0),MONTH(Calculations!AG$3)),1/12))</f>
        <v>12</v>
      </c>
      <c r="AH4" s="60">
        <f>IF($A4=0,1/12,IFERROR(INDEX(Parameters!$X$2:$AI$17,MATCH(Calculations!$A4,Parameters!$A$2:$A$17,0),MONTH(Calculations!AH$3)),1/12))</f>
        <v>1</v>
      </c>
      <c r="AI4" s="60">
        <f>IF($A4=0,1/12,IFERROR(INDEX(Parameters!$X$2:$AI$17,MATCH(Calculations!$A4,Parameters!$A$2:$A$17,0),MONTH(Calculations!AI$3)),1/12))</f>
        <v>2</v>
      </c>
      <c r="AJ4" s="60">
        <f>IF($A4=0,1/12,IFERROR(INDEX(Parameters!$X$2:$AI$17,MATCH(Calculations!$A4,Parameters!$A$2:$A$17,0),MONTH(Calculations!AJ$3)),1/12))</f>
        <v>3</v>
      </c>
      <c r="AK4" s="60">
        <f>IF($A4=0,1/12,IFERROR(INDEX(Parameters!$X$2:$AI$17,MATCH(Calculations!$A4,Parameters!$A$2:$A$17,0),MONTH(Calculations!AK$3)),1/12))</f>
        <v>4</v>
      </c>
      <c r="AL4" s="60">
        <f>IF($A4=0,1/12,IFERROR(INDEX(Parameters!$X$2:$AI$17,MATCH(Calculations!$A4,Parameters!$A$2:$A$17,0),MONTH(Calculations!AL$3)),1/12))</f>
        <v>5</v>
      </c>
      <c r="AM4" s="60">
        <f>IF($A4=0,1/12,IFERROR(INDEX(Parameters!$X$2:$AI$17,MATCH(Calculations!$A4,Parameters!$A$2:$A$17,0),MONTH(Calculations!AM$3)),1/12))</f>
        <v>6</v>
      </c>
      <c r="AN4" s="60">
        <f>IF($A4=0,1/12,IFERROR(INDEX(Parameters!$X$2:$AI$17,MATCH(Calculations!$A4,Parameters!$A$2:$A$17,0),MONTH(Calculations!AN$3)),1/12))</f>
        <v>7</v>
      </c>
      <c r="AO4" s="60">
        <f>IF($A4=0,1/12,IFERROR(INDEX(Parameters!$X$2:$AI$17,MATCH(Calculations!$A4,Parameters!$A$2:$A$17,0),MONTH(Calculations!AO$3)),1/12))</f>
        <v>8</v>
      </c>
      <c r="AP4" s="60">
        <f>IF($A4=0,1/12,IFERROR(INDEX(Parameters!$X$2:$AI$17,MATCH(Calculations!$A4,Parameters!$A$2:$A$17,0),MONTH(Calculations!AP$3)),1/12))</f>
        <v>9</v>
      </c>
      <c r="AQ4" s="60">
        <f>IF($A4=0,1/12,IFERROR(INDEX(Parameters!$X$2:$AI$17,MATCH(Calculations!$A4,Parameters!$A$2:$A$17,0),MONTH(Calculations!AQ$3)),1/12))</f>
        <v>10</v>
      </c>
      <c r="AR4" s="60">
        <f>IF($A4=0,1/12,IFERROR(INDEX(Parameters!$X$2:$AI$17,MATCH(Calculations!$A4,Parameters!$A$2:$A$17,0),MONTH(Calculations!AR$3)),1/12))</f>
        <v>11</v>
      </c>
      <c r="AS4" s="60">
        <f>IF($A4=0,1/12,IFERROR(INDEX(Parameters!$X$2:$AI$17,MATCH(Calculations!$A4,Parameters!$A$2:$A$17,0),MONTH(Calculations!AS$3)),1/12))</f>
        <v>12</v>
      </c>
      <c r="AT4" s="60">
        <f>IF($A4=0,1/12,IFERROR(INDEX(Parameters!$X$2:$AI$17,MATCH(Calculations!$A4,Parameters!$A$2:$A$17,0),MONTH(Calculations!AT$3)),1/12))</f>
        <v>1</v>
      </c>
      <c r="AU4" s="60">
        <f>IF($A4=0,1/12,IFERROR(INDEX(Parameters!$X$2:$AI$17,MATCH(Calculations!$A4,Parameters!$A$2:$A$17,0),MONTH(Calculations!AU$3)),1/12))</f>
        <v>2</v>
      </c>
      <c r="AV4" s="60">
        <f>IF($A4=0,1/12,IFERROR(INDEX(Parameters!$X$2:$AI$17,MATCH(Calculations!$A4,Parameters!$A$2:$A$17,0),MONTH(Calculations!AV$3)),1/12))</f>
        <v>3</v>
      </c>
      <c r="AW4" s="60">
        <f>IF($A4=0,1/12,IFERROR(INDEX(Parameters!$X$2:$AI$17,MATCH(Calculations!$A4,Parameters!$A$2:$A$17,0),MONTH(Calculations!AW$3)),1/12))</f>
        <v>4</v>
      </c>
      <c r="AX4" s="60">
        <f>IF($A4=0,1/12,IFERROR(INDEX(Parameters!$X$2:$AI$17,MATCH(Calculations!$A4,Parameters!$A$2:$A$17,0),MONTH(Calculations!AX$3)),1/12))</f>
        <v>5</v>
      </c>
      <c r="AY4" s="60">
        <f>IF($A4=0,1/12,IFERROR(INDEX(Parameters!$X$2:$AI$17,MATCH(Calculations!$A4,Parameters!$A$2:$A$17,0),MONTH(Calculations!AY$3)),1/12))</f>
        <v>6</v>
      </c>
      <c r="AZ4" s="60">
        <f>IF($A4=0,1/12,IFERROR(INDEX(Parameters!$X$2:$AI$17,MATCH(Calculations!$A4,Parameters!$A$2:$A$17,0),MONTH(Calculations!AZ$3)),1/12))</f>
        <v>7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100000</v>
      </c>
      <c r="B23" s="75">
        <f>SUM(C23:D23)</f>
        <v>8859.635854341737</v>
      </c>
      <c r="C23" s="75">
        <f>IF(Inputs!B56&gt;0,(Inputs!A56-Inputs!B56)/(DATE(YEAR(Inputs!$B$76),MONTH(Inputs!$B$76),DAY(Inputs!$B$76))-DATE(YEAR(Inputs!C56),MONTH(Inputs!C56),DAY(Inputs!C56)))*30,0)</f>
        <v>7026.302521008403</v>
      </c>
      <c r="D23" s="75">
        <f>IF(Inputs!B56&gt;0,Inputs!A56*0.22/12,0)</f>
        <v>1833.333333333333</v>
      </c>
      <c r="E23" s="75">
        <f>IFERROR(ROUNDUP(Inputs!B56/C23,0),0)</f>
        <v>11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42994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42979</v>
      </c>
      <c r="F33" t="s">
        <v>154</v>
      </c>
      <c r="G33" s="128">
        <f>IF(Inputs!B79="","",DATE(YEAR(Inputs!B79),MONTH(Inputs!B79),DAY(Inputs!B79)))</f>
        <v>42963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43024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43009</v>
      </c>
      <c r="F34" t="s">
        <v>155</v>
      </c>
      <c r="G34" s="128">
        <f>IF(Inputs!B80="","",DATE(YEAR(Inputs!B80),MONTH(Inputs!B80),DAY(Inputs!B80)))</f>
        <v>42994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43055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43040</v>
      </c>
      <c r="F35" t="s">
        <v>157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43085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43070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43116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43101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43147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43132</v>
      </c>
      <c r="F38" t="s">
        <v>220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43175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43160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43206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43191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43236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43221</v>
      </c>
      <c r="F41" t="s">
        <v>221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43267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43252</v>
      </c>
      <c r="F42" t="s">
        <v>222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43297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43328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43359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43344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43389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43374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43420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43405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43450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43435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43481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43466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43512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43497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43540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43525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43571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43556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43601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43586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43632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43617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43662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43647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43693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43678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309</v>
      </c>
      <c r="C41" s="191" t="s">
        <v>118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311</v>
      </c>
      <c r="H52" s="12" t="s">
        <v>312</v>
      </c>
      <c r="I52" s="12" t="s">
        <v>122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223</v>
      </c>
      <c r="E53" s="10" t="s">
        <v>182</v>
      </c>
      <c r="F53" s="10" t="s">
        <v>242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118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118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118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118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118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118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118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118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118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118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118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160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219</v>
      </c>
      <c r="J76" s="11" t="s">
        <v>345</v>
      </c>
      <c r="K76" s="11" t="s">
        <v>172</v>
      </c>
      <c r="AJ76" s="12"/>
    </row>
    <row r="77" spans="1:36">
      <c r="A77" t="s">
        <v>118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122</v>
      </c>
      <c r="I78" s="12" t="s">
        <v>354</v>
      </c>
      <c r="J78" s="70" t="s">
        <v>355</v>
      </c>
      <c r="K78" s="12" t="s">
        <v>309</v>
      </c>
      <c r="AJ78" s="12"/>
    </row>
    <row r="79" spans="1:36">
      <c r="B79" s="176">
        <v>10</v>
      </c>
      <c r="C79" s="12" t="s">
        <v>115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160</v>
      </c>
      <c r="J79" s="70" t="s">
        <v>359</v>
      </c>
      <c r="K79" s="12" t="s">
        <v>309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118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363</v>
      </c>
      <c r="K81" s="12" t="s">
        <v>118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144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