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<sst xmlns="http://schemas.openxmlformats.org/spreadsheetml/2006/main" uniqueCount="374">
  <si>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</si>
  <si>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</si>
  <si>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</si>
  <si>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</si>
  <si>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</si>
  <si>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</si>
  <si>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</si>
  <si>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</si>
  <si>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</si>
  <si>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</si>
  <si>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</si>
  <si>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</si>
  <si>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</si>
  <si>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</si>
  <si>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</si>
  <si>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</si>
  <si>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</si>
  <si>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</si>
  <si>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</si>
  <si>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</si>
  <si>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</si>
  <si>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</si>
  <si>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</si>
  <si>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</si>
  <si>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</si>
  <si>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</si>
  <si>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</si>
  <si>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</si>
  <si>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</si>
  <si>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</si>
  <si>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</si>
  <si>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</si>
  <si>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</si>
  <si>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</si>
  <si>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</si>
  <si>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</si>
  <si>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</si>
  <si>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</si>
  <si>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</si>
  <si>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</si>
  <si>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</si>
  <si>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</si>
  <si>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</si>
  <si>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</si>
  <si>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</si>
  <si>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</si>
  <si>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</si>
  <si>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</si>
  <si>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</si>
  <si>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</si>
  <si>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</si>
  <si>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</si>
  <si>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</si>
  <si>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</si>
  <si>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</si>
  <si>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</si>
  <si>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</si>
  <si>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</si>
  <si>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</si>
  <si>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</si>
  <si>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</si>
  <si>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</si>
  <si>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</si>
  <si>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</si>
  <si>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</si>
  <si>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</si>
  <si>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</si>
  <si>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</si>
  <si>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</si>
  <si>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</si>
  <si>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</si>
  <si>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</si>
  <si>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</si>
  <si>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</si>
  <si>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</si>
  <si>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</si>
  <si>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</si>
  <si>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</si>
  <si>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</si>
  <si>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</si>
  <si>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</si>
  <si>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</si>
  <si>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</si>
  <si>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</si>
  <si>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</si>
  <si>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</si>
  <si>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</si>
  <si>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</si>
  <si>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</si>
  <si>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</si>
  <si>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</si>
  <si>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</si>
  <si>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</si>
  <si>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</si>
  <si>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</si>
  <si>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</si>
  <si>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</si>
  <si>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</si>
  <si>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</si>
  <si>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</si>
  <si>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</si>
  <si>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</si>
  <si>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Pigs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</si>
  <si>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</si>
  <si>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</si>
  <si>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</si>
  <si>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</si>
  <si>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</si>
  <si>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</si>
  <si>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broker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</si>
  <si>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</si>
  <si>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</si>
  <si>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</si>
  <si>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</si>
  <si>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</si>
  <si>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</si>
  <si>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</si>
  <si>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</si>
  <si>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</si>
  <si>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</si>
  <si>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</si>
  <si>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</si>
  <si>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</si>
  <si>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</si>
  <si>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</si>
  <si>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</si>
  <si>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</si>
  <si>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</si>
  <si>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</si>
  <si>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</si>
  <si>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</si>
  <si>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</si>
  <si>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</si>
  <si>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</si>
  <si>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</si>
  <si>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</si>
  <si>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</si>
  <si>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10/19/2016</t>
  </si>
  <si>
    <t>Musoni K</t>
  </si>
  <si>
    <t>No</t>
  </si>
  <si>
    <t>The loan was booked with wrong start date which caused to be 60%</t>
  </si>
  <si>
    <t>7/3/2017</t>
  </si>
  <si>
    <t>ENCLOF</t>
  </si>
  <si>
    <t>Good repayment</t>
  </si>
  <si>
    <t>8/6/2017</t>
  </si>
  <si>
    <t>Mshwari</t>
  </si>
  <si>
    <t>to be paid in 30 mins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</si>
  <si>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</si>
  <si>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</si>
  <si>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</si>
  <si>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</si>
  <si>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</si>
  <si>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</si>
  <si>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</si>
  <si>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</si>
  <si>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March</t>
  </si>
  <si>
    <t>Loan info</t>
  </si>
  <si>
    <t>Branch ID</t>
  </si>
  <si>
    <t>Submission date</t>
  </si>
  <si>
    <t>2017/8/21</t>
  </si>
  <si>
    <t>Loan terms</t>
  </si>
  <si>
    <t>Expected disbursement date</t>
  </si>
  <si>
    <t>Expected first repayment date</t>
  </si>
  <si>
    <t>2017/9/21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</si>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</sst>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Pigs</v>
      </c>
    </row>
    <row r="8" spans="1:7">
      <c r="B8" s="1" t="s">
        <v>4</v>
      </c>
      <c r="C8" t="str">
        <f>IF(Inputs!B29="","None",Inputs!B29)</f>
        <v>broker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0.3780043232829789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August 2017</v>
      </c>
    </row>
    <row r="13" spans="1:7">
      <c r="B13" s="1" t="s">
        <v>8</v>
      </c>
      <c r="C13" s="67">
        <f>IFERROR(Output!B107/Output!B101,"")</f>
        <v>0.2175126903553299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198288.2235528942</v>
      </c>
    </row>
    <row r="18" spans="1:7">
      <c r="B18" s="1" t="s">
        <v>12</v>
      </c>
      <c r="C18" s="36">
        <f>MIN(Output!B6:M6)</f>
        <v>9923.365034636605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19168.46307385229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50666.66666666666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9923.365034636605</v>
      </c>
      <c r="C6" s="51">
        <f>C30-C88</f>
        <v>9923.365034636605</v>
      </c>
      <c r="D6" s="51">
        <f>D30-D88</f>
        <v>9923.365034636605</v>
      </c>
      <c r="E6" s="51">
        <f>E30-E88</f>
        <v>15170.42385816602</v>
      </c>
      <c r="F6" s="51">
        <f>F30-F88</f>
        <v>19168.46307385229</v>
      </c>
      <c r="G6" s="51">
        <f>G30-G88</f>
        <v>19168.46307385229</v>
      </c>
      <c r="H6" s="51">
        <f>H30-H88</f>
        <v>19168.46307385229</v>
      </c>
      <c r="I6" s="51">
        <f>I30-I88</f>
        <v>19168.46307385229</v>
      </c>
      <c r="J6" s="51">
        <f>J30-J88</f>
        <v>19168.46307385229</v>
      </c>
      <c r="K6" s="51">
        <f>K30-K88</f>
        <v>19168.46307385229</v>
      </c>
      <c r="L6" s="51">
        <f>L30-L88</f>
        <v>19168.46307385229</v>
      </c>
      <c r="M6" s="51">
        <f>M30-M88</f>
        <v>19168.46307385229</v>
      </c>
      <c r="N6" s="51">
        <f>N30-N88</f>
        <v>19168.46307385229</v>
      </c>
      <c r="O6" s="51">
        <f>O30-O88</f>
        <v>19168.46307385229</v>
      </c>
      <c r="P6" s="51">
        <f>P30-P88</f>
        <v>19168.46307385229</v>
      </c>
      <c r="Q6" s="51">
        <f>Q30-Q88</f>
        <v>19168.46307385229</v>
      </c>
      <c r="R6" s="51">
        <f>R30-R88</f>
        <v>19168.46307385229</v>
      </c>
      <c r="S6" s="51">
        <f>S30-S88</f>
        <v>19168.46307385229</v>
      </c>
      <c r="T6" s="51">
        <f>T30-T88</f>
        <v>19168.46307385229</v>
      </c>
      <c r="U6" s="51">
        <f>U30-U88</f>
        <v>19168.46307385229</v>
      </c>
      <c r="V6" s="51">
        <f>V30-V88</f>
        <v>19168.46307385229</v>
      </c>
      <c r="W6" s="51">
        <f>W30-W88</f>
        <v>19168.46307385229</v>
      </c>
      <c r="X6" s="51">
        <f>X30-X88</f>
        <v>19168.46307385229</v>
      </c>
      <c r="Y6" s="51">
        <f>Y30-Y88</f>
        <v>19168.46307385229</v>
      </c>
      <c r="Z6" s="51">
        <f>SUMIF($B$13:$Y$13,"Yes",B6:Y6)</f>
        <v>217456.6866267465</v>
      </c>
      <c r="AA6" s="51">
        <f>AA30-AA88</f>
        <v>198288.2235528942</v>
      </c>
      <c r="AB6" s="51">
        <f>AB30-AB88</f>
        <v>428309.7804391213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19308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23264</v>
      </c>
      <c r="J7" s="80">
        <f>IF(ISERROR(VLOOKUP(MONTH(J5),Inputs!$D$66:$D$71,1,0)),"",INDEX(Inputs!$B$66:$B$71,MATCH(MONTH(Output!J5),Inputs!$D$66:$D$71,0))-INDEX(Inputs!$C$66:$C$71,MATCH(MONTH(Output!J5),Inputs!$D$66:$D$71,0)))</f>
        <v>25734</v>
      </c>
      <c r="K7" s="80">
        <f>IF(ISERROR(VLOOKUP(MONTH(K5),Inputs!$D$66:$D$71,1,0)),"",INDEX(Inputs!$B$66:$B$71,MATCH(MONTH(Output!K5),Inputs!$D$66:$D$71,0))-INDEX(Inputs!$C$66:$C$71,MATCH(MONTH(Output!K5),Inputs!$D$66:$D$71,0)))</f>
        <v>17630</v>
      </c>
      <c r="L7" s="80">
        <f>IF(ISERROR(VLOOKUP(MONTH(L5),Inputs!$D$66:$D$71,1,0)),"",INDEX(Inputs!$B$66:$B$71,MATCH(MONTH(Output!L5),Inputs!$D$66:$D$71,0))-INDEX(Inputs!$C$66:$C$71,MATCH(MONTH(Output!L5),Inputs!$D$66:$D$71,0)))</f>
        <v>113808</v>
      </c>
      <c r="M7" s="80">
        <f>IF(ISERROR(VLOOKUP(MONTH(M5),Inputs!$D$66:$D$71,1,0)),"",INDEX(Inputs!$B$66:$B$71,MATCH(MONTH(Output!M5),Inputs!$D$66:$D$71,0))-INDEX(Inputs!$C$66:$C$71,MATCH(MONTH(Output!M5),Inputs!$D$66:$D$71,0)))</f>
        <v>17489</v>
      </c>
      <c r="N7" s="80">
        <f>IF(ISERROR(VLOOKUP(MONTH(N5),Inputs!$D$66:$D$71,1,0)),"",INDEX(Inputs!$B$66:$B$71,MATCH(MONTH(Output!N5),Inputs!$D$66:$D$71,0))-INDEX(Inputs!$C$66:$C$71,MATCH(MONTH(Output!N5),Inputs!$D$66:$D$71,0)))</f>
        <v>19308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23264</v>
      </c>
      <c r="V7" s="80">
        <f>IF(ISERROR(VLOOKUP(MONTH(V5),Inputs!$D$66:$D$71,1,0)),"",INDEX(Inputs!$B$66:$B$71,MATCH(MONTH(Output!V5),Inputs!$D$66:$D$71,0))-INDEX(Inputs!$C$66:$C$71,MATCH(MONTH(Output!V5),Inputs!$D$66:$D$71,0)))</f>
        <v>25734</v>
      </c>
      <c r="W7" s="80">
        <f>IF(ISERROR(VLOOKUP(MONTH(W5),Inputs!$D$66:$D$71,1,0)),"",INDEX(Inputs!$B$66:$B$71,MATCH(MONTH(Output!W5),Inputs!$D$66:$D$71,0))-INDEX(Inputs!$C$66:$C$71,MATCH(MONTH(Output!W5),Inputs!$D$66:$D$71,0)))</f>
        <v>17630</v>
      </c>
      <c r="X7" s="80">
        <f>IF(ISERROR(VLOOKUP(MONTH(X5),Inputs!$D$66:$D$71,1,0)),"",INDEX(Inputs!$B$66:$B$71,MATCH(MONTH(Output!X5),Inputs!$D$66:$D$71,0))-INDEX(Inputs!$C$66:$C$71,MATCH(MONTH(Output!X5),Inputs!$D$66:$D$71,0)))</f>
        <v>113808</v>
      </c>
      <c r="Y7" s="80">
        <f>IF(ISERROR(VLOOKUP(MONTH(Y5),Inputs!$D$66:$D$71,1,0)),"",INDEX(Inputs!$B$66:$B$71,MATCH(MONTH(Output!Y5),Inputs!$D$66:$D$71,0))-INDEX(Inputs!$C$66:$C$71,MATCH(MONTH(Output!Y5),Inputs!$D$66:$D$71,0)))</f>
        <v>17489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109923.3650346366</v>
      </c>
      <c r="C11" s="80">
        <f>C6+C9-C10</f>
        <v>-76.63496536339517</v>
      </c>
      <c r="D11" s="80">
        <f>D6+D9-D10</f>
        <v>-76.63496536339517</v>
      </c>
      <c r="E11" s="80">
        <f>E6+E9-E10</f>
        <v>5170.423858166025</v>
      </c>
      <c r="F11" s="80">
        <f>F6+F9-F10</f>
        <v>9168.463073852294</v>
      </c>
      <c r="G11" s="80">
        <f>G6+G9-G10</f>
        <v>9168.463073852294</v>
      </c>
      <c r="H11" s="80">
        <f>H6+H9-H10</f>
        <v>9168.463073852294</v>
      </c>
      <c r="I11" s="80">
        <f>I6+I9-I10</f>
        <v>9168.463073852294</v>
      </c>
      <c r="J11" s="80">
        <f>J6+J9-J10</f>
        <v>9168.463073852294</v>
      </c>
      <c r="K11" s="80">
        <f>K6+K9-K10</f>
        <v>9168.463073852294</v>
      </c>
      <c r="L11" s="80">
        <f>L6+L9-L10</f>
        <v>9168.463073852294</v>
      </c>
      <c r="M11" s="80">
        <f>M6+M9-M10</f>
        <v>9168.463073852294</v>
      </c>
      <c r="N11" s="80">
        <f>N6+N9-N10</f>
        <v>9168.463073852294</v>
      </c>
      <c r="O11" s="80">
        <f>O6+O9-O10</f>
        <v>19168.46307385229</v>
      </c>
      <c r="P11" s="80">
        <f>P6+P9-P10</f>
        <v>19168.46307385229</v>
      </c>
      <c r="Q11" s="80">
        <f>Q6+Q9-Q10</f>
        <v>19168.46307385229</v>
      </c>
      <c r="R11" s="80">
        <f>R6+R9-R10</f>
        <v>19168.46307385229</v>
      </c>
      <c r="S11" s="80">
        <f>S6+S9-S10</f>
        <v>19168.46307385229</v>
      </c>
      <c r="T11" s="80">
        <f>T6+T9-T10</f>
        <v>19168.46307385229</v>
      </c>
      <c r="U11" s="80">
        <f>U6+U9-U10</f>
        <v>19168.46307385229</v>
      </c>
      <c r="V11" s="80">
        <f>V6+V9-V10</f>
        <v>19168.46307385229</v>
      </c>
      <c r="W11" s="80">
        <f>W6+W9-W10</f>
        <v>19168.46307385229</v>
      </c>
      <c r="X11" s="80">
        <f>X6+X9-X10</f>
        <v>19168.46307385229</v>
      </c>
      <c r="Y11" s="80">
        <f>Y6+Y9-Y10</f>
        <v>19168.46307385229</v>
      </c>
      <c r="Z11" s="85">
        <f>SUMIF($B$13:$Y$13,"Yes",B11:Y11)</f>
        <v>197456.6866267465</v>
      </c>
      <c r="AA11" s="80">
        <f>SUM(B11:M11)</f>
        <v>188288.2235528942</v>
      </c>
      <c r="AB11" s="46">
        <f>SUM(B11:Y11)</f>
        <v>408309.7804391218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0.08343990690626144</v>
      </c>
      <c r="D12" s="82">
        <f>IF(D13="Yes",IF(SUM($B$10:D10)/(SUM($B$6:D6)+SUM($B$9:D9))&lt;0,999.99,SUM($B$10:D10)/(SUM($B$6:D6)+SUM($B$9:D9))),"")</f>
        <v>0.1541187126663162</v>
      </c>
      <c r="E12" s="82">
        <f>IF(E13="Yes",IF(SUM($B$10:E10)/(SUM($B$6:E6)+SUM($B$9:E9))&lt;0,999.99,SUM($B$10:E10)/(SUM($B$6:E6)+SUM($B$9:E9))),"")</f>
        <v>0.2069814584274367</v>
      </c>
      <c r="F12" s="82">
        <f>IF(F13="Yes",IF(SUM($B$10:F10)/(SUM($B$6:F6)+SUM($B$9:F9))&lt;0,999.99,SUM($B$10:F10)/(SUM($B$6:F6)+SUM($B$9:F9))),"")</f>
        <v>0.2437404674854595</v>
      </c>
      <c r="G12" s="82">
        <f>IF(G13="Yes",IF(SUM($B$10:G10)/(SUM($B$6:G6)+SUM($B$9:G9))&lt;0,999.99,SUM($B$10:G10)/(SUM($B$6:G6)+SUM($B$9:G9))),"")</f>
        <v>0.2728104375857638</v>
      </c>
      <c r="H12" s="82">
        <f>IF(H13="Yes",IF(SUM($B$10:H10)/(SUM($B$6:H6)+SUM($B$9:H9))&lt;0,999.99,SUM($B$10:H10)/(SUM($B$6:H6)+SUM($B$9:H9))),"")</f>
        <v>0.2963754641342307</v>
      </c>
      <c r="I12" s="82">
        <f>IF(I13="Yes",IF(SUM($B$10:I10)/(SUM($B$6:I6)+SUM($B$9:I9))&lt;0,999.99,SUM($B$10:I10)/(SUM($B$6:I6)+SUM($B$9:I9))),"")</f>
        <v>0.3158639920453072</v>
      </c>
      <c r="J12" s="82">
        <f>IF(J13="Yes",IF(SUM($B$10:J10)/(SUM($B$6:J6)+SUM($B$9:J9))&lt;0,999.99,SUM($B$10:J10)/(SUM($B$6:J6)+SUM($B$9:J9))),"")</f>
        <v>0.3322495983659421</v>
      </c>
      <c r="K12" s="82">
        <f>IF(K13="Yes",IF(SUM($B$10:K10)/(SUM($B$6:K6)+SUM($B$9:K9))&lt;0,999.99,SUM($B$10:K10)/(SUM($B$6:K6)+SUM($B$9:K9))),"")</f>
        <v>0.3462186990346726</v>
      </c>
      <c r="L12" s="82">
        <f>IF(L13="Yes",IF(SUM($B$10:L10)/(SUM($B$6:L6)+SUM($B$9:L9))&lt;0,999.99,SUM($B$10:L10)/(SUM($B$6:L6)+SUM($B$9:L9))),"")</f>
        <v>0.3582691523823826</v>
      </c>
      <c r="M12" s="82">
        <f>IF(M13="Yes",IF(SUM($B$10:M10)/(SUM($B$6:M6)+SUM($B$9:M9))&lt;0,999.99,SUM($B$10:M10)/(SUM($B$6:M6)+SUM($B$9:M9))),"")</f>
        <v>0.3687708441513252</v>
      </c>
      <c r="N12" s="82">
        <f>IF(N13="Yes",IF(SUM($B$10:N10)/(SUM($B$6:N6)+SUM($B$9:N9))&lt;0,999.99,SUM($B$10:N10)/(SUM($B$6:N6)+SUM($B$9:N9))),"")</f>
        <v>0.3780043232829789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31999.99999999999</v>
      </c>
    </row>
    <row r="24" spans="1:30">
      <c r="A24" s="43" t="str">
        <f>IF(Inputs!A19="","",IF(Inputs!A19=Parameters!$A$30,Inputs!B19,Inputs!A19))</f>
        <v>Pigs</v>
      </c>
      <c r="B24" s="36">
        <f>IFERROR(Calculations!$P14/12,"")</f>
        <v>28800</v>
      </c>
      <c r="C24" s="36">
        <f>IFERROR(Calculations!$P14/12,"")</f>
        <v>28800</v>
      </c>
      <c r="D24" s="36">
        <f>IFERROR(Calculations!$P14/12,"")</f>
        <v>28800</v>
      </c>
      <c r="E24" s="36">
        <f>IFERROR(Calculations!$P14/12,"")</f>
        <v>28800</v>
      </c>
      <c r="F24" s="36">
        <f>IFERROR(Calculations!$P14/12,"")</f>
        <v>28800</v>
      </c>
      <c r="G24" s="36">
        <f>IFERROR(Calculations!$P14/12,"")</f>
        <v>28800</v>
      </c>
      <c r="H24" s="36">
        <f>IFERROR(Calculations!$P14/12,"")</f>
        <v>28800</v>
      </c>
      <c r="I24" s="36">
        <f>IFERROR(Calculations!$P14/12,"")</f>
        <v>28800</v>
      </c>
      <c r="J24" s="36">
        <f>IFERROR(Calculations!$P14/12,"")</f>
        <v>28800</v>
      </c>
      <c r="K24" s="36">
        <f>IFERROR(Calculations!$P14/12,"")</f>
        <v>28800</v>
      </c>
      <c r="L24" s="36">
        <f>IFERROR(Calculations!$P14/12,"")</f>
        <v>28800</v>
      </c>
      <c r="M24" s="36">
        <f>IFERROR(Calculations!$P14/12,"")</f>
        <v>28800</v>
      </c>
      <c r="N24" s="36">
        <f>IFERROR(Calculations!$P14/12,"")</f>
        <v>28800</v>
      </c>
      <c r="O24" s="36">
        <f>IFERROR(Calculations!$P14/12,"")</f>
        <v>28800</v>
      </c>
      <c r="P24" s="36">
        <f>IFERROR(Calculations!$P14/12,"")</f>
        <v>28800</v>
      </c>
      <c r="Q24" s="36">
        <f>IFERROR(Calculations!$P14/12,"")</f>
        <v>28800</v>
      </c>
      <c r="R24" s="36">
        <f>IFERROR(Calculations!$P14/12,"")</f>
        <v>28800</v>
      </c>
      <c r="S24" s="36">
        <f>IFERROR(Calculations!$P14/12,"")</f>
        <v>28800</v>
      </c>
      <c r="T24" s="36">
        <f>IFERROR(Calculations!$P14/12,"")</f>
        <v>28800</v>
      </c>
      <c r="U24" s="36">
        <f>IFERROR(Calculations!$P14/12,"")</f>
        <v>28800</v>
      </c>
      <c r="V24" s="36">
        <f>IFERROR(Calculations!$P14/12,"")</f>
        <v>28800</v>
      </c>
      <c r="W24" s="36">
        <f>IFERROR(Calculations!$P14/12,"")</f>
        <v>28800</v>
      </c>
      <c r="X24" s="36">
        <f>IFERROR(Calculations!$P14/12,"")</f>
        <v>28800</v>
      </c>
      <c r="Y24" s="36">
        <f>IFERROR(Calculations!$P14/12,"")</f>
        <v>28800</v>
      </c>
      <c r="Z24" s="36">
        <f>SUMIF($B$13:$Y$13,"Yes",B24:Y24)</f>
        <v>374400</v>
      </c>
      <c r="AA24" s="36">
        <f>SUM(B24:M24)</f>
        <v>345600</v>
      </c>
      <c r="AB24" s="46">
        <f>SUM(B24:Y24)</f>
        <v>691200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20000</v>
      </c>
      <c r="C29" s="37">
        <f>Inputs!$B$30</f>
        <v>20000</v>
      </c>
      <c r="D29" s="37">
        <f>Inputs!$B$30</f>
        <v>20000</v>
      </c>
      <c r="E29" s="37">
        <f>Inputs!$B$30</f>
        <v>20000</v>
      </c>
      <c r="F29" s="37">
        <f>Inputs!$B$30</f>
        <v>20000</v>
      </c>
      <c r="G29" s="37">
        <f>Inputs!$B$30</f>
        <v>20000</v>
      </c>
      <c r="H29" s="37">
        <f>Inputs!$B$30</f>
        <v>20000</v>
      </c>
      <c r="I29" s="37">
        <f>Inputs!$B$30</f>
        <v>20000</v>
      </c>
      <c r="J29" s="37">
        <f>Inputs!$B$30</f>
        <v>20000</v>
      </c>
      <c r="K29" s="37">
        <f>Inputs!$B$30</f>
        <v>20000</v>
      </c>
      <c r="L29" s="37">
        <f>Inputs!$B$30</f>
        <v>20000</v>
      </c>
      <c r="M29" s="37">
        <f>Inputs!$B$30</f>
        <v>20000</v>
      </c>
      <c r="N29" s="37">
        <f>Inputs!$B$30</f>
        <v>20000</v>
      </c>
      <c r="O29" s="37">
        <f>Inputs!$B$30</f>
        <v>20000</v>
      </c>
      <c r="P29" s="37">
        <f>Inputs!$B$30</f>
        <v>20000</v>
      </c>
      <c r="Q29" s="37">
        <f>Inputs!$B$30</f>
        <v>20000</v>
      </c>
      <c r="R29" s="37">
        <f>Inputs!$B$30</f>
        <v>20000</v>
      </c>
      <c r="S29" s="37">
        <f>Inputs!$B$30</f>
        <v>20000</v>
      </c>
      <c r="T29" s="37">
        <f>Inputs!$B$30</f>
        <v>20000</v>
      </c>
      <c r="U29" s="37">
        <f>Inputs!$B$30</f>
        <v>20000</v>
      </c>
      <c r="V29" s="37">
        <f>Inputs!$B$30</f>
        <v>20000</v>
      </c>
      <c r="W29" s="37">
        <f>Inputs!$B$30</f>
        <v>20000</v>
      </c>
      <c r="X29" s="37">
        <f>Inputs!$B$30</f>
        <v>20000</v>
      </c>
      <c r="Y29" s="37">
        <f>Inputs!$B$30</f>
        <v>20000</v>
      </c>
      <c r="Z29" s="37">
        <f>SUMIF($B$13:$Y$13,"Yes",B29:Y29)</f>
        <v>260000</v>
      </c>
      <c r="AA29" s="37">
        <f>SUM(B29:M29)</f>
        <v>240000</v>
      </c>
      <c r="AB29" s="37">
        <f>SUM(B29:Y29)</f>
        <v>480000</v>
      </c>
    </row>
    <row r="30" spans="1:30" customHeight="1" ht="15.75">
      <c r="A30" s="1" t="s">
        <v>37</v>
      </c>
      <c r="B30" s="19">
        <f>SUM(B18:B29)</f>
        <v>48800</v>
      </c>
      <c r="C30" s="19">
        <f>SUM(C18:C29)</f>
        <v>48800</v>
      </c>
      <c r="D30" s="19">
        <f>SUM(D18:D29)</f>
        <v>48800</v>
      </c>
      <c r="E30" s="19">
        <f>SUM(E18:E29)</f>
        <v>48800</v>
      </c>
      <c r="F30" s="19">
        <f>SUM(F18:F29)</f>
        <v>48800</v>
      </c>
      <c r="G30" s="19">
        <f>SUM(G18:G29)</f>
        <v>48800</v>
      </c>
      <c r="H30" s="19">
        <f>SUM(H18:H29)</f>
        <v>48800</v>
      </c>
      <c r="I30" s="19">
        <f>SUM(I18:I29)</f>
        <v>48800</v>
      </c>
      <c r="J30" s="19">
        <f>SUM(J18:J29)</f>
        <v>48800</v>
      </c>
      <c r="K30" s="19">
        <f>SUM(K18:K29)</f>
        <v>48800</v>
      </c>
      <c r="L30" s="19">
        <f>SUM(L18:L29)</f>
        <v>48800</v>
      </c>
      <c r="M30" s="19">
        <f>SUM(M18:M29)</f>
        <v>48800</v>
      </c>
      <c r="N30" s="19">
        <f>SUM(N18:N29)</f>
        <v>48800</v>
      </c>
      <c r="O30" s="19">
        <f>SUM(O18:O29)</f>
        <v>48800</v>
      </c>
      <c r="P30" s="19">
        <f>SUM(P18:P29)</f>
        <v>48800</v>
      </c>
      <c r="Q30" s="19">
        <f>SUM(Q18:Q29)</f>
        <v>48800</v>
      </c>
      <c r="R30" s="19">
        <f>SUM(R18:R29)</f>
        <v>48800</v>
      </c>
      <c r="S30" s="19">
        <f>SUM(S18:S29)</f>
        <v>48800</v>
      </c>
      <c r="T30" s="19">
        <f>SUM(T18:T29)</f>
        <v>48800</v>
      </c>
      <c r="U30" s="19">
        <f>SUM(U18:U29)</f>
        <v>48800</v>
      </c>
      <c r="V30" s="19">
        <f>SUM(V18:V29)</f>
        <v>48800</v>
      </c>
      <c r="W30" s="19">
        <f>SUM(W18:W29)</f>
        <v>48800</v>
      </c>
      <c r="X30" s="19">
        <f>SUM(X18:X29)</f>
        <v>48800</v>
      </c>
      <c r="Y30" s="19">
        <f>SUM(Y18:Y29)</f>
        <v>48800</v>
      </c>
      <c r="Z30" s="19">
        <f>SUMIF($B$13:$Y$13,"Yes",B30:Y30)</f>
        <v>634400</v>
      </c>
      <c r="AA30" s="19">
        <f>SUM(B30:M30)</f>
        <v>585600</v>
      </c>
      <c r="AB30" s="19">
        <f>SUM(B30:Y30)</f>
        <v>1171200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7300</v>
      </c>
      <c r="C74" s="46">
        <f>SUM(Calculations!$Q$14:$Q$16)/12</f>
        <v>7300</v>
      </c>
      <c r="D74" s="46">
        <f>SUM(Calculations!$Q$14:$Q$16)/12</f>
        <v>7300</v>
      </c>
      <c r="E74" s="46">
        <f>SUM(Calculations!$Q$14:$Q$16)/12</f>
        <v>7300</v>
      </c>
      <c r="F74" s="46">
        <f>SUM(Calculations!$Q$14:$Q$16)/12</f>
        <v>7300</v>
      </c>
      <c r="G74" s="46">
        <f>SUM(Calculations!$Q$14:$Q$16)/12</f>
        <v>7300</v>
      </c>
      <c r="H74" s="46">
        <f>SUM(Calculations!$Q$14:$Q$16)/12</f>
        <v>7300</v>
      </c>
      <c r="I74" s="46">
        <f>SUM(Calculations!$Q$14:$Q$16)/12</f>
        <v>7300</v>
      </c>
      <c r="J74" s="46">
        <f>SUM(Calculations!$Q$14:$Q$16)/12</f>
        <v>7300</v>
      </c>
      <c r="K74" s="46">
        <f>SUM(Calculations!$Q$14:$Q$16)/12</f>
        <v>7300</v>
      </c>
      <c r="L74" s="46">
        <f>SUM(Calculations!$Q$14:$Q$16)/12</f>
        <v>7300</v>
      </c>
      <c r="M74" s="46">
        <f>SUM(Calculations!$Q$14:$Q$16)/12</f>
        <v>7300</v>
      </c>
      <c r="N74" s="46">
        <f>SUM(Calculations!$Q$14:$Q$16)/12</f>
        <v>7300</v>
      </c>
      <c r="O74" s="46">
        <f>SUM(Calculations!$Q$14:$Q$16)/12</f>
        <v>7300</v>
      </c>
      <c r="P74" s="46">
        <f>SUM(Calculations!$Q$14:$Q$16)/12</f>
        <v>7300</v>
      </c>
      <c r="Q74" s="46">
        <f>SUM(Calculations!$Q$14:$Q$16)/12</f>
        <v>7300</v>
      </c>
      <c r="R74" s="46">
        <f>SUM(Calculations!$Q$14:$Q$16)/12</f>
        <v>7300</v>
      </c>
      <c r="S74" s="46">
        <f>SUM(Calculations!$Q$14:$Q$16)/12</f>
        <v>7300</v>
      </c>
      <c r="T74" s="46">
        <f>SUM(Calculations!$Q$14:$Q$16)/12</f>
        <v>7300</v>
      </c>
      <c r="U74" s="46">
        <f>SUM(Calculations!$Q$14:$Q$16)/12</f>
        <v>7300</v>
      </c>
      <c r="V74" s="46">
        <f>SUM(Calculations!$Q$14:$Q$16)/12</f>
        <v>7300</v>
      </c>
      <c r="W74" s="46">
        <f>SUM(Calculations!$Q$14:$Q$16)/12</f>
        <v>7300</v>
      </c>
      <c r="X74" s="46">
        <f>SUM(Calculations!$Q$14:$Q$16)/12</f>
        <v>7300</v>
      </c>
      <c r="Y74" s="46">
        <f>SUM(Calculations!$Q$14:$Q$16)/12</f>
        <v>7300</v>
      </c>
      <c r="Z74" s="46">
        <f>SUMIF($B$13:$Y$13,"Yes",B74:Y74)</f>
        <v>94900</v>
      </c>
      <c r="AA74" s="46">
        <f>SUM(B74:M74)</f>
        <v>87600</v>
      </c>
      <c r="AB74" s="46">
        <f>SUM(B74:Y74)</f>
        <v>175200</v>
      </c>
    </row>
    <row r="75" spans="1:30">
      <c r="A75" s="16" t="s">
        <v>47</v>
      </c>
      <c r="B75" s="46">
        <f>SUM(Calculations!$R$14:$R$16)/12</f>
        <v>133.3333333333333</v>
      </c>
      <c r="C75" s="46">
        <f>SUM(Calculations!$R$14:$R$16)/12</f>
        <v>133.3333333333333</v>
      </c>
      <c r="D75" s="46">
        <f>SUM(Calculations!$R$14:$R$16)/12</f>
        <v>133.3333333333333</v>
      </c>
      <c r="E75" s="46">
        <f>SUM(Calculations!$R$14:$R$16)/12</f>
        <v>133.3333333333333</v>
      </c>
      <c r="F75" s="46">
        <f>SUM(Calculations!$R$14:$R$16)/12</f>
        <v>133.3333333333333</v>
      </c>
      <c r="G75" s="46">
        <f>SUM(Calculations!$R$14:$R$16)/12</f>
        <v>133.3333333333333</v>
      </c>
      <c r="H75" s="46">
        <f>SUM(Calculations!$R$14:$R$16)/12</f>
        <v>133.3333333333333</v>
      </c>
      <c r="I75" s="46">
        <f>SUM(Calculations!$R$14:$R$16)/12</f>
        <v>133.3333333333333</v>
      </c>
      <c r="J75" s="46">
        <f>SUM(Calculations!$R$14:$R$16)/12</f>
        <v>133.3333333333333</v>
      </c>
      <c r="K75" s="46">
        <f>SUM(Calculations!$R$14:$R$16)/12</f>
        <v>133.3333333333333</v>
      </c>
      <c r="L75" s="46">
        <f>SUM(Calculations!$R$14:$R$16)/12</f>
        <v>133.3333333333333</v>
      </c>
      <c r="M75" s="46">
        <f>SUM(Calculations!$R$14:$R$16)/12</f>
        <v>133.3333333333333</v>
      </c>
      <c r="N75" s="46">
        <f>SUM(Calculations!$R$14:$R$16)/12</f>
        <v>133.3333333333333</v>
      </c>
      <c r="O75" s="46">
        <f>SUM(Calculations!$R$14:$R$16)/12</f>
        <v>133.3333333333333</v>
      </c>
      <c r="P75" s="46">
        <f>SUM(Calculations!$R$14:$R$16)/12</f>
        <v>133.3333333333333</v>
      </c>
      <c r="Q75" s="46">
        <f>SUM(Calculations!$R$14:$R$16)/12</f>
        <v>133.3333333333333</v>
      </c>
      <c r="R75" s="46">
        <f>SUM(Calculations!$R$14:$R$16)/12</f>
        <v>133.3333333333333</v>
      </c>
      <c r="S75" s="46">
        <f>SUM(Calculations!$R$14:$R$16)/12</f>
        <v>133.3333333333333</v>
      </c>
      <c r="T75" s="46">
        <f>SUM(Calculations!$R$14:$R$16)/12</f>
        <v>133.3333333333333</v>
      </c>
      <c r="U75" s="46">
        <f>SUM(Calculations!$R$14:$R$16)/12</f>
        <v>133.3333333333333</v>
      </c>
      <c r="V75" s="46">
        <f>SUM(Calculations!$R$14:$R$16)/12</f>
        <v>133.3333333333333</v>
      </c>
      <c r="W75" s="46">
        <f>SUM(Calculations!$R$14:$R$16)/12</f>
        <v>133.3333333333333</v>
      </c>
      <c r="X75" s="46">
        <f>SUM(Calculations!$R$14:$R$16)/12</f>
        <v>133.3333333333333</v>
      </c>
      <c r="Y75" s="46">
        <f>SUM(Calculations!$R$14:$R$16)/12</f>
        <v>133.3333333333333</v>
      </c>
      <c r="Z75" s="46">
        <f>SUMIF($B$13:$Y$13,"Yes",B75:Y75)</f>
        <v>1733.333333333333</v>
      </c>
      <c r="AA75" s="46">
        <f>SUM(B75:M75)</f>
        <v>1600</v>
      </c>
      <c r="AB75" s="46">
        <f>SUM(B75:Y75)</f>
        <v>3200.000000000001</v>
      </c>
    </row>
    <row r="76" spans="1:30">
      <c r="A76" s="16" t="s">
        <v>48</v>
      </c>
      <c r="B76" s="46">
        <f>SUM(Calculations!$S$14:$S$16)/12</f>
        <v>1333.333333333333</v>
      </c>
      <c r="C76" s="46">
        <f>SUM(Calculations!$S$14:$S$16)/12</f>
        <v>1333.333333333333</v>
      </c>
      <c r="D76" s="46">
        <f>SUM(Calculations!$S$14:$S$16)/12</f>
        <v>1333.333333333333</v>
      </c>
      <c r="E76" s="46">
        <f>SUM(Calculations!$S$14:$S$16)/12</f>
        <v>1333.333333333333</v>
      </c>
      <c r="F76" s="46">
        <f>SUM(Calculations!$S$14:$S$16)/12</f>
        <v>1333.333333333333</v>
      </c>
      <c r="G76" s="46">
        <f>SUM(Calculations!$S$14:$S$16)/12</f>
        <v>1333.333333333333</v>
      </c>
      <c r="H76" s="46">
        <f>SUM(Calculations!$S$14:$S$16)/12</f>
        <v>1333.333333333333</v>
      </c>
      <c r="I76" s="46">
        <f>SUM(Calculations!$S$14:$S$16)/12</f>
        <v>1333.333333333333</v>
      </c>
      <c r="J76" s="46">
        <f>SUM(Calculations!$S$14:$S$16)/12</f>
        <v>1333.333333333333</v>
      </c>
      <c r="K76" s="46">
        <f>SUM(Calculations!$S$14:$S$16)/12</f>
        <v>1333.333333333333</v>
      </c>
      <c r="L76" s="46">
        <f>SUM(Calculations!$S$14:$S$16)/12</f>
        <v>1333.333333333333</v>
      </c>
      <c r="M76" s="46">
        <f>SUM(Calculations!$S$14:$S$16)/12</f>
        <v>1333.333333333333</v>
      </c>
      <c r="N76" s="46">
        <f>SUM(Calculations!$S$14:$S$16)/12</f>
        <v>1333.333333333333</v>
      </c>
      <c r="O76" s="46">
        <f>SUM(Calculations!$S$14:$S$16)/12</f>
        <v>1333.333333333333</v>
      </c>
      <c r="P76" s="46">
        <f>SUM(Calculations!$S$14:$S$16)/12</f>
        <v>1333.333333333333</v>
      </c>
      <c r="Q76" s="46">
        <f>SUM(Calculations!$S$14:$S$16)/12</f>
        <v>1333.333333333333</v>
      </c>
      <c r="R76" s="46">
        <f>SUM(Calculations!$S$14:$S$16)/12</f>
        <v>1333.333333333333</v>
      </c>
      <c r="S76" s="46">
        <f>SUM(Calculations!$S$14:$S$16)/12</f>
        <v>1333.333333333333</v>
      </c>
      <c r="T76" s="46">
        <f>SUM(Calculations!$S$14:$S$16)/12</f>
        <v>1333.333333333333</v>
      </c>
      <c r="U76" s="46">
        <f>SUM(Calculations!$S$14:$S$16)/12</f>
        <v>1333.333333333333</v>
      </c>
      <c r="V76" s="46">
        <f>SUM(Calculations!$S$14:$S$16)/12</f>
        <v>1333.333333333333</v>
      </c>
      <c r="W76" s="46">
        <f>SUM(Calculations!$S$14:$S$16)/12</f>
        <v>1333.333333333333</v>
      </c>
      <c r="X76" s="46">
        <f>SUM(Calculations!$S$14:$S$16)/12</f>
        <v>1333.333333333333</v>
      </c>
      <c r="Y76" s="46">
        <f>SUM(Calculations!$S$14:$S$16)/12</f>
        <v>1333.333333333333</v>
      </c>
      <c r="Z76" s="46">
        <f>SUMIF($B$13:$Y$13,"Yes",B76:Y76)</f>
        <v>17333.33333333334</v>
      </c>
      <c r="AA76" s="46">
        <f>SUM(B76:M76)</f>
        <v>16000</v>
      </c>
      <c r="AB76" s="46">
        <f>SUM(B76:Y76)</f>
        <v>31999.99999999999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14013.33333333333</v>
      </c>
      <c r="C81" s="46">
        <f>(SUM($AA$18:$AA$29)-SUM($AA$36,$AA$42,$AA$48,$AA$54,$AA$60,$AA$66,$AA$72:$AA$79))*Parameters!$B$37/12</f>
        <v>14013.33333333333</v>
      </c>
      <c r="D81" s="46">
        <f>(SUM($AA$18:$AA$29)-SUM($AA$36,$AA$42,$AA$48,$AA$54,$AA$60,$AA$66,$AA$72:$AA$79))*Parameters!$B$37/12</f>
        <v>14013.33333333333</v>
      </c>
      <c r="E81" s="46">
        <f>(SUM($AA$18:$AA$29)-SUM($AA$36,$AA$42,$AA$48,$AA$54,$AA$60,$AA$66,$AA$72:$AA$79))*Parameters!$B$37/12</f>
        <v>14013.33333333333</v>
      </c>
      <c r="F81" s="46">
        <f>(SUM($AA$18:$AA$29)-SUM($AA$36,$AA$42,$AA$48,$AA$54,$AA$60,$AA$66,$AA$72:$AA$79))*Parameters!$B$37/12</f>
        <v>14013.33333333333</v>
      </c>
      <c r="G81" s="46">
        <f>(SUM($AA$18:$AA$29)-SUM($AA$36,$AA$42,$AA$48,$AA$54,$AA$60,$AA$66,$AA$72:$AA$79))*Parameters!$B$37/12</f>
        <v>14013.33333333333</v>
      </c>
      <c r="H81" s="46">
        <f>(SUM($AA$18:$AA$29)-SUM($AA$36,$AA$42,$AA$48,$AA$54,$AA$60,$AA$66,$AA$72:$AA$79))*Parameters!$B$37/12</f>
        <v>14013.33333333333</v>
      </c>
      <c r="I81" s="46">
        <f>(SUM($AA$18:$AA$29)-SUM($AA$36,$AA$42,$AA$48,$AA$54,$AA$60,$AA$66,$AA$72:$AA$79))*Parameters!$B$37/12</f>
        <v>14013.33333333333</v>
      </c>
      <c r="J81" s="46">
        <f>(SUM($AA$18:$AA$29)-SUM($AA$36,$AA$42,$AA$48,$AA$54,$AA$60,$AA$66,$AA$72:$AA$79))*Parameters!$B$37/12</f>
        <v>14013.33333333333</v>
      </c>
      <c r="K81" s="46">
        <f>(SUM($AA$18:$AA$29)-SUM($AA$36,$AA$42,$AA$48,$AA$54,$AA$60,$AA$66,$AA$72:$AA$79))*Parameters!$B$37/12</f>
        <v>14013.33333333333</v>
      </c>
      <c r="L81" s="46">
        <f>(SUM($AA$18:$AA$29)-SUM($AA$36,$AA$42,$AA$48,$AA$54,$AA$60,$AA$66,$AA$72:$AA$79))*Parameters!$B$37/12</f>
        <v>14013.33333333333</v>
      </c>
      <c r="M81" s="46">
        <f>(SUM($AA$18:$AA$29)-SUM($AA$36,$AA$42,$AA$48,$AA$54,$AA$60,$AA$66,$AA$72:$AA$79))*Parameters!$B$37/12</f>
        <v>14013.33333333333</v>
      </c>
      <c r="N81" s="46">
        <f>(SUM($AA$18:$AA$29)-SUM($AA$36,$AA$42,$AA$48,$AA$54,$AA$60,$AA$66,$AA$72:$AA$79))*Parameters!$B$37/12</f>
        <v>14013.33333333333</v>
      </c>
      <c r="O81" s="46">
        <f>(SUM($AA$18:$AA$29)-SUM($AA$36,$AA$42,$AA$48,$AA$54,$AA$60,$AA$66,$AA$72:$AA$79))*Parameters!$B$37/12</f>
        <v>14013.33333333333</v>
      </c>
      <c r="P81" s="46">
        <f>(SUM($AA$18:$AA$29)-SUM($AA$36,$AA$42,$AA$48,$AA$54,$AA$60,$AA$66,$AA$72:$AA$79))*Parameters!$B$37/12</f>
        <v>14013.33333333333</v>
      </c>
      <c r="Q81" s="46">
        <f>(SUM($AA$18:$AA$29)-SUM($AA$36,$AA$42,$AA$48,$AA$54,$AA$60,$AA$66,$AA$72:$AA$79))*Parameters!$B$37/12</f>
        <v>14013.33333333333</v>
      </c>
      <c r="R81" s="46">
        <f>(SUM($AA$18:$AA$29)-SUM($AA$36,$AA$42,$AA$48,$AA$54,$AA$60,$AA$66,$AA$72:$AA$79))*Parameters!$B$37/12</f>
        <v>14013.33333333333</v>
      </c>
      <c r="S81" s="46">
        <f>(SUM($AA$18:$AA$29)-SUM($AA$36,$AA$42,$AA$48,$AA$54,$AA$60,$AA$66,$AA$72:$AA$79))*Parameters!$B$37/12</f>
        <v>14013.33333333333</v>
      </c>
      <c r="T81" s="46">
        <f>(SUM($AA$18:$AA$29)-SUM($AA$36,$AA$42,$AA$48,$AA$54,$AA$60,$AA$66,$AA$72:$AA$79))*Parameters!$B$37/12</f>
        <v>14013.33333333333</v>
      </c>
      <c r="U81" s="46">
        <f>(SUM($AA$18:$AA$29)-SUM($AA$36,$AA$42,$AA$48,$AA$54,$AA$60,$AA$66,$AA$72:$AA$79))*Parameters!$B$37/12</f>
        <v>14013.33333333333</v>
      </c>
      <c r="V81" s="46">
        <f>(SUM($AA$18:$AA$29)-SUM($AA$36,$AA$42,$AA$48,$AA$54,$AA$60,$AA$66,$AA$72:$AA$79))*Parameters!$B$37/12</f>
        <v>14013.33333333333</v>
      </c>
      <c r="W81" s="46">
        <f>(SUM($AA$18:$AA$29)-SUM($AA$36,$AA$42,$AA$48,$AA$54,$AA$60,$AA$66,$AA$72:$AA$79))*Parameters!$B$37/12</f>
        <v>14013.33333333333</v>
      </c>
      <c r="X81" s="46">
        <f>(SUM($AA$18:$AA$29)-SUM($AA$36,$AA$42,$AA$48,$AA$54,$AA$60,$AA$66,$AA$72:$AA$79))*Parameters!$B$37/12</f>
        <v>14013.33333333333</v>
      </c>
      <c r="Y81" s="46">
        <f>(SUM($AA$18:$AA$29)-SUM($AA$36,$AA$42,$AA$48,$AA$54,$AA$60,$AA$66,$AA$72:$AA$79))*Parameters!$B$37/12</f>
        <v>14013.33333333333</v>
      </c>
      <c r="Z81" s="46">
        <f>SUMIF($B$13:$Y$13,"Yes",B81:Y81)</f>
        <v>182173.3333333333</v>
      </c>
      <c r="AA81" s="46">
        <f>SUM(B81:M81)</f>
        <v>168160</v>
      </c>
      <c r="AB81" s="46">
        <f>SUM(B81:Y81)</f>
        <v>336319.9999999999</v>
      </c>
    </row>
    <row r="82" spans="1:30">
      <c r="A82" s="16" t="s">
        <v>52</v>
      </c>
      <c r="B82" s="46">
        <f>SUM(B83:B87)</f>
        <v>11096.63496536339</v>
      </c>
      <c r="C82" s="46">
        <f>SUM(C83:C87)</f>
        <v>11096.63496536339</v>
      </c>
      <c r="D82" s="46">
        <f>SUM(D83:D87)</f>
        <v>11096.63496536339</v>
      </c>
      <c r="E82" s="46">
        <f>SUM(E83:E87)</f>
        <v>5849.576141833978</v>
      </c>
      <c r="F82" s="46">
        <f>SUM(F83:F87)</f>
        <v>1851.536926147705</v>
      </c>
      <c r="G82" s="46">
        <f>SUM(G83:G87)</f>
        <v>1851.536926147705</v>
      </c>
      <c r="H82" s="46">
        <f>SUM(H83:H87)</f>
        <v>1851.536926147705</v>
      </c>
      <c r="I82" s="46">
        <f>SUM(I83:I87)</f>
        <v>1851.536926147705</v>
      </c>
      <c r="J82" s="46">
        <f>SUM(J83:J87)</f>
        <v>1851.536926147705</v>
      </c>
      <c r="K82" s="46">
        <f>SUM(K83:K87)</f>
        <v>1851.536926147705</v>
      </c>
      <c r="L82" s="46">
        <f>SUM(L83:L87)</f>
        <v>1851.536926147705</v>
      </c>
      <c r="M82" s="46">
        <f>SUM(M83:M87)</f>
        <v>1851.536926147705</v>
      </c>
      <c r="N82" s="46">
        <f>SUM(N83:N87)</f>
        <v>1851.536926147705</v>
      </c>
      <c r="O82" s="46">
        <f>SUM(O83:O87)</f>
        <v>1851.536926147705</v>
      </c>
      <c r="P82" s="46">
        <f>SUM(P83:P87)</f>
        <v>1851.536926147705</v>
      </c>
      <c r="Q82" s="46">
        <f>SUM(Q83:Q87)</f>
        <v>1851.536926147705</v>
      </c>
      <c r="R82" s="46">
        <f>SUM(R83:R87)</f>
        <v>1851.536926147705</v>
      </c>
      <c r="S82" s="46">
        <f>SUM(S83:S87)</f>
        <v>1851.536926147705</v>
      </c>
      <c r="T82" s="46">
        <f>SUM(T83:T87)</f>
        <v>1851.536926147705</v>
      </c>
      <c r="U82" s="46">
        <f>SUM(U83:U87)</f>
        <v>1851.536926147705</v>
      </c>
      <c r="V82" s="46">
        <f>SUM(V83:V87)</f>
        <v>1851.536926147705</v>
      </c>
      <c r="W82" s="46">
        <f>SUM(W83:W87)</f>
        <v>1851.536926147705</v>
      </c>
      <c r="X82" s="46">
        <f>SUM(X83:X87)</f>
        <v>1851.536926147705</v>
      </c>
      <c r="Y82" s="46">
        <f>SUM(Y83:Y87)</f>
        <v>1851.536926147705</v>
      </c>
      <c r="Z82" s="46">
        <f>SUMIF($B$13:$Y$13,"Yes",B82:Y82)</f>
        <v>55803.31337325347</v>
      </c>
      <c r="AA82" s="46">
        <f>SUM(B82:M82)</f>
        <v>53951.77644710577</v>
      </c>
      <c r="AB82" s="46">
        <f>SUM(B82:Y82)</f>
        <v>76170.21956087821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9245.098039215687</v>
      </c>
      <c r="C83" s="46">
        <f>IF(Calculations!$E23&gt;COUNT(Output!$B$35:C$35),Calculations!$B23,IF(Calculations!$E23=COUNT(Output!$B$35:C$35),Inputs!$B56-Calculations!$C23*(Calculations!$E23-1)+Calculations!$D23,0))</f>
        <v>9245.098039215687</v>
      </c>
      <c r="D83" s="46">
        <f>IF(Calculations!$E23&gt;COUNT(Output!$B$35:D$35),Calculations!$B23,IF(Calculations!$E23=COUNT(Output!$B$35:D$35),Inputs!$B56-Calculations!$C23*(Calculations!$E23-1)+Calculations!$D23,0))</f>
        <v>9245.098039215687</v>
      </c>
      <c r="E83" s="46">
        <f>IF(Calculations!$E23&gt;COUNT(Output!$B$35:E$35),Calculations!$B23,IF(Calculations!$E23=COUNT(Output!$B$35:E$35),Inputs!$B56-Calculations!$C23*(Calculations!$E23-1)+Calculations!$D23,0))</f>
        <v>3998.039215686274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31733.33333333334</v>
      </c>
      <c r="AA83" s="46">
        <f>SUM(B83:M83)</f>
        <v>31733.33333333334</v>
      </c>
      <c r="AB83" s="46">
        <f>SUM(B83:Y83)</f>
        <v>31733.33333333334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1814.870259481038</v>
      </c>
      <c r="C84" s="46">
        <f>IF(Calculations!$E24&gt;COUNT(Output!$B$35:C$35),Calculations!$B24,IF(Calculations!$E24=COUNT(Output!$B$35:C$35),Inputs!$B57-Calculations!$C24*(Calculations!$E24-1)+Calculations!$D24,0))</f>
        <v>1814.870259481038</v>
      </c>
      <c r="D84" s="46">
        <f>IF(Calculations!$E24&gt;COUNT(Output!$B$35:D$35),Calculations!$B24,IF(Calculations!$E24=COUNT(Output!$B$35:D$35),Inputs!$B57-Calculations!$C24*(Calculations!$E24-1)+Calculations!$D24,0))</f>
        <v>1814.870259481038</v>
      </c>
      <c r="E84" s="46">
        <f>IF(Calculations!$E24&gt;COUNT(Output!$B$35:E$35),Calculations!$B24,IF(Calculations!$E24=COUNT(Output!$B$35:E$35),Inputs!$B57-Calculations!$C24*(Calculations!$E24-1)+Calculations!$D24,0))</f>
        <v>1814.870259481038</v>
      </c>
      <c r="F84" s="46">
        <f>IF(Calculations!$E24&gt;COUNT(Output!$B$35:F$35),Calculations!$B24,IF(Calculations!$E24=COUNT(Output!$B$35:F$35),Inputs!$B57-Calculations!$C24*(Calculations!$E24-1)+Calculations!$D24,0))</f>
        <v>1814.870259481038</v>
      </c>
      <c r="G84" s="46">
        <f>IF(Calculations!$E24&gt;COUNT(Output!$B$35:G$35),Calculations!$B24,IF(Calculations!$E24=COUNT(Output!$B$35:G$35),Inputs!$B57-Calculations!$C24*(Calculations!$E24-1)+Calculations!$D24,0))</f>
        <v>1814.870259481038</v>
      </c>
      <c r="H84" s="46">
        <f>IF(Calculations!$E24&gt;COUNT(Output!$B$35:H$35),Calculations!$B24,IF(Calculations!$E24=COUNT(Output!$B$35:H$35),Inputs!$B57-Calculations!$C24*(Calculations!$E24-1)+Calculations!$D24,0))</f>
        <v>1814.870259481038</v>
      </c>
      <c r="I84" s="46">
        <f>IF(Calculations!$E24&gt;COUNT(Output!$B$35:I$35),Calculations!$B24,IF(Calculations!$E24=COUNT(Output!$B$35:I$35),Inputs!$B57-Calculations!$C24*(Calculations!$E24-1)+Calculations!$D24,0))</f>
        <v>1814.870259481038</v>
      </c>
      <c r="J84" s="46">
        <f>IF(Calculations!$E24&gt;COUNT(Output!$B$35:J$35),Calculations!$B24,IF(Calculations!$E24=COUNT(Output!$B$35:J$35),Inputs!$B57-Calculations!$C24*(Calculations!$E24-1)+Calculations!$D24,0))</f>
        <v>1814.870259481038</v>
      </c>
      <c r="K84" s="46">
        <f>IF(Calculations!$E24&gt;COUNT(Output!$B$35:K$35),Calculations!$B24,IF(Calculations!$E24=COUNT(Output!$B$35:K$35),Inputs!$B57-Calculations!$C24*(Calculations!$E24-1)+Calculations!$D24,0))</f>
        <v>1814.870259481038</v>
      </c>
      <c r="L84" s="46">
        <f>IF(Calculations!$E24&gt;COUNT(Output!$B$35:L$35),Calculations!$B24,IF(Calculations!$E24=COUNT(Output!$B$35:L$35),Inputs!$B57-Calculations!$C24*(Calculations!$E24-1)+Calculations!$D24,0))</f>
        <v>1814.870259481038</v>
      </c>
      <c r="M84" s="46">
        <f>IF(Calculations!$E24&gt;COUNT(Output!$B$35:M$35),Calculations!$B24,IF(Calculations!$E24=COUNT(Output!$B$35:M$35),Inputs!$B57-Calculations!$C24*(Calculations!$E24-1)+Calculations!$D24,0))</f>
        <v>1814.870259481038</v>
      </c>
      <c r="N84" s="46">
        <f>IF(Calculations!$E24&gt;COUNT(Output!$B$35:N$35),Calculations!$B24,IF(Calculations!$E24=COUNT(Output!$B$35:N$35),Inputs!$B57-Calculations!$C24*(Calculations!$E24-1)+Calculations!$D24,0))</f>
        <v>1814.870259481038</v>
      </c>
      <c r="O84" s="46">
        <f>IF(Calculations!$E24&gt;COUNT(Output!$B$35:O$35),Calculations!$B24,IF(Calculations!$E24=COUNT(Output!$B$35:O$35),Inputs!$B57-Calculations!$C24*(Calculations!$E24-1)+Calculations!$D24,0))</f>
        <v>1814.870259481038</v>
      </c>
      <c r="P84" s="46">
        <f>IF(Calculations!$E24&gt;COUNT(Output!$B$35:P$35),Calculations!$B24,IF(Calculations!$E24=COUNT(Output!$B$35:P$35),Inputs!$B57-Calculations!$C24*(Calculations!$E24-1)+Calculations!$D24,0))</f>
        <v>1814.870259481038</v>
      </c>
      <c r="Q84" s="46">
        <f>IF(Calculations!$E24&gt;COUNT(Output!$B$35:Q$35),Calculations!$B24,IF(Calculations!$E24=COUNT(Output!$B$35:Q$35),Inputs!$B57-Calculations!$C24*(Calculations!$E24-1)+Calculations!$D24,0))</f>
        <v>1814.870259481038</v>
      </c>
      <c r="R84" s="46">
        <f>IF(Calculations!$E24&gt;COUNT(Output!$B$35:R$35),Calculations!$B24,IF(Calculations!$E24=COUNT(Output!$B$35:R$35),Inputs!$B57-Calculations!$C24*(Calculations!$E24-1)+Calculations!$D24,0))</f>
        <v>1814.870259481038</v>
      </c>
      <c r="S84" s="46">
        <f>IF(Calculations!$E24&gt;COUNT(Output!$B$35:S$35),Calculations!$B24,IF(Calculations!$E24=COUNT(Output!$B$35:S$35),Inputs!$B57-Calculations!$C24*(Calculations!$E24-1)+Calculations!$D24,0))</f>
        <v>1814.870259481038</v>
      </c>
      <c r="T84" s="46">
        <f>IF(Calculations!$E24&gt;COUNT(Output!$B$35:T$35),Calculations!$B24,IF(Calculations!$E24=COUNT(Output!$B$35:T$35),Inputs!$B57-Calculations!$C24*(Calculations!$E24-1)+Calculations!$D24,0))</f>
        <v>1814.870259481038</v>
      </c>
      <c r="U84" s="46">
        <f>IF(Calculations!$E24&gt;COUNT(Output!$B$35:U$35),Calculations!$B24,IF(Calculations!$E24=COUNT(Output!$B$35:U$35),Inputs!$B57-Calculations!$C24*(Calculations!$E24-1)+Calculations!$D24,0))</f>
        <v>1814.870259481038</v>
      </c>
      <c r="V84" s="46">
        <f>IF(Calculations!$E24&gt;COUNT(Output!$B$35:V$35),Calculations!$B24,IF(Calculations!$E24=COUNT(Output!$B$35:V$35),Inputs!$B57-Calculations!$C24*(Calculations!$E24-1)+Calculations!$D24,0))</f>
        <v>1814.870259481038</v>
      </c>
      <c r="W84" s="46">
        <f>IF(Calculations!$E24&gt;COUNT(Output!$B$35:W$35),Calculations!$B24,IF(Calculations!$E24=COUNT(Output!$B$35:W$35),Inputs!$B57-Calculations!$C24*(Calculations!$E24-1)+Calculations!$D24,0))</f>
        <v>1814.870259481038</v>
      </c>
      <c r="X84" s="46">
        <f>IF(Calculations!$E24&gt;COUNT(Output!$B$35:X$35),Calculations!$B24,IF(Calculations!$E24=COUNT(Output!$B$35:X$35),Inputs!$B57-Calculations!$C24*(Calculations!$E24-1)+Calculations!$D24,0))</f>
        <v>1814.870259481038</v>
      </c>
      <c r="Y84" s="46">
        <f>IF(Calculations!$E24&gt;COUNT(Output!$B$35:Y$35),Calculations!$B24,IF(Calculations!$E24=COUNT(Output!$B$35:Y$35),Inputs!$B57-Calculations!$C24*(Calculations!$E24-1)+Calculations!$D24,0))</f>
        <v>1814.870259481038</v>
      </c>
      <c r="Z84" s="46">
        <f>SUMIF($B$13:$Y$13,"Yes",B84:Y84)</f>
        <v>23593.3133732535</v>
      </c>
      <c r="AA84" s="46">
        <f>SUM(B84:M84)</f>
        <v>21778.44311377246</v>
      </c>
      <c r="AB84" s="46">
        <f>SUM(B84:Y84)</f>
        <v>43556.88622754491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36.66666666666666</v>
      </c>
      <c r="C85" s="46">
        <f>IF(Calculations!$E25&gt;COUNT(Output!$B$35:C$35),Calculations!$B25,IF(Calculations!$E25=COUNT(Output!$B$35:C$35),Inputs!$B58-Calculations!$C25*(Calculations!$E25-1)+Calculations!$D25,0))</f>
        <v>36.66666666666666</v>
      </c>
      <c r="D85" s="46">
        <f>IF(Calculations!$E25&gt;COUNT(Output!$B$35:D$35),Calculations!$B25,IF(Calculations!$E25=COUNT(Output!$B$35:D$35),Inputs!$B58-Calculations!$C25*(Calculations!$E25-1)+Calculations!$D25,0))</f>
        <v>36.66666666666666</v>
      </c>
      <c r="E85" s="46">
        <f>IF(Calculations!$E25&gt;COUNT(Output!$B$35:E$35),Calculations!$B25,IF(Calculations!$E25=COUNT(Output!$B$35:E$35),Inputs!$B58-Calculations!$C25*(Calculations!$E25-1)+Calculations!$D25,0))</f>
        <v>36.66666666666666</v>
      </c>
      <c r="F85" s="46">
        <f>IF(Calculations!$E25&gt;COUNT(Output!$B$35:F$35),Calculations!$B25,IF(Calculations!$E25=COUNT(Output!$B$35:F$35),Inputs!$B58-Calculations!$C25*(Calculations!$E25-1)+Calculations!$D25,0))</f>
        <v>36.66666666666666</v>
      </c>
      <c r="G85" s="46">
        <f>IF(Calculations!$E25&gt;COUNT(Output!$B$35:G$35),Calculations!$B25,IF(Calculations!$E25=COUNT(Output!$B$35:G$35),Inputs!$B58-Calculations!$C25*(Calculations!$E25-1)+Calculations!$D25,0))</f>
        <v>36.66666666666666</v>
      </c>
      <c r="H85" s="46">
        <f>IF(Calculations!$E25&gt;COUNT(Output!$B$35:H$35),Calculations!$B25,IF(Calculations!$E25=COUNT(Output!$B$35:H$35),Inputs!$B58-Calculations!$C25*(Calculations!$E25-1)+Calculations!$D25,0))</f>
        <v>36.66666666666666</v>
      </c>
      <c r="I85" s="46">
        <f>IF(Calculations!$E25&gt;COUNT(Output!$B$35:I$35),Calculations!$B25,IF(Calculations!$E25=COUNT(Output!$B$35:I$35),Inputs!$B58-Calculations!$C25*(Calculations!$E25-1)+Calculations!$D25,0))</f>
        <v>36.66666666666666</v>
      </c>
      <c r="J85" s="46">
        <f>IF(Calculations!$E25&gt;COUNT(Output!$B$35:J$35),Calculations!$B25,IF(Calculations!$E25=COUNT(Output!$B$35:J$35),Inputs!$B58-Calculations!$C25*(Calculations!$E25-1)+Calculations!$D25,0))</f>
        <v>36.66666666666666</v>
      </c>
      <c r="K85" s="46">
        <f>IF(Calculations!$E25&gt;COUNT(Output!$B$35:K$35),Calculations!$B25,IF(Calculations!$E25=COUNT(Output!$B$35:K$35),Inputs!$B58-Calculations!$C25*(Calculations!$E25-1)+Calculations!$D25,0))</f>
        <v>36.66666666666666</v>
      </c>
      <c r="L85" s="46">
        <f>IF(Calculations!$E25&gt;COUNT(Output!$B$35:L$35),Calculations!$B25,IF(Calculations!$E25=COUNT(Output!$B$35:L$35),Inputs!$B58-Calculations!$C25*(Calculations!$E25-1)+Calculations!$D25,0))</f>
        <v>36.66666666666666</v>
      </c>
      <c r="M85" s="46">
        <f>IF(Calculations!$E25&gt;COUNT(Output!$B$35:M$35),Calculations!$B25,IF(Calculations!$E25=COUNT(Output!$B$35:M$35),Inputs!$B58-Calculations!$C25*(Calculations!$E25-1)+Calculations!$D25,0))</f>
        <v>36.66666666666666</v>
      </c>
      <c r="N85" s="46">
        <f>IF(Calculations!$E25&gt;COUNT(Output!$B$35:N$35),Calculations!$B25,IF(Calculations!$E25=COUNT(Output!$B$35:N$35),Inputs!$B58-Calculations!$C25*(Calculations!$E25-1)+Calculations!$D25,0))</f>
        <v>36.66666666666666</v>
      </c>
      <c r="O85" s="46">
        <f>IF(Calculations!$E25&gt;COUNT(Output!$B$35:O$35),Calculations!$B25,IF(Calculations!$E25=COUNT(Output!$B$35:O$35),Inputs!$B58-Calculations!$C25*(Calculations!$E25-1)+Calculations!$D25,0))</f>
        <v>36.66666666666666</v>
      </c>
      <c r="P85" s="46">
        <f>IF(Calculations!$E25&gt;COUNT(Output!$B$35:P$35),Calculations!$B25,IF(Calculations!$E25=COUNT(Output!$B$35:P$35),Inputs!$B58-Calculations!$C25*(Calculations!$E25-1)+Calculations!$D25,0))</f>
        <v>36.66666666666666</v>
      </c>
      <c r="Q85" s="46">
        <f>IF(Calculations!$E25&gt;COUNT(Output!$B$35:Q$35),Calculations!$B25,IF(Calculations!$E25=COUNT(Output!$B$35:Q$35),Inputs!$B58-Calculations!$C25*(Calculations!$E25-1)+Calculations!$D25,0))</f>
        <v>36.66666666666666</v>
      </c>
      <c r="R85" s="46">
        <f>IF(Calculations!$E25&gt;COUNT(Output!$B$35:R$35),Calculations!$B25,IF(Calculations!$E25=COUNT(Output!$B$35:R$35),Inputs!$B58-Calculations!$C25*(Calculations!$E25-1)+Calculations!$D25,0))</f>
        <v>36.66666666666666</v>
      </c>
      <c r="S85" s="46">
        <f>IF(Calculations!$E25&gt;COUNT(Output!$B$35:S$35),Calculations!$B25,IF(Calculations!$E25=COUNT(Output!$B$35:S$35),Inputs!$B58-Calculations!$C25*(Calculations!$E25-1)+Calculations!$D25,0))</f>
        <v>36.66666666666666</v>
      </c>
      <c r="T85" s="46">
        <f>IF(Calculations!$E25&gt;COUNT(Output!$B$35:T$35),Calculations!$B25,IF(Calculations!$E25=COUNT(Output!$B$35:T$35),Inputs!$B58-Calculations!$C25*(Calculations!$E25-1)+Calculations!$D25,0))</f>
        <v>36.66666666666666</v>
      </c>
      <c r="U85" s="46">
        <f>IF(Calculations!$E25&gt;COUNT(Output!$B$35:U$35),Calculations!$B25,IF(Calculations!$E25=COUNT(Output!$B$35:U$35),Inputs!$B58-Calculations!$C25*(Calculations!$E25-1)+Calculations!$D25,0))</f>
        <v>36.66666666666666</v>
      </c>
      <c r="V85" s="46">
        <f>IF(Calculations!$E25&gt;COUNT(Output!$B$35:V$35),Calculations!$B25,IF(Calculations!$E25=COUNT(Output!$B$35:V$35),Inputs!$B58-Calculations!$C25*(Calculations!$E25-1)+Calculations!$D25,0))</f>
        <v>36.66666666666666</v>
      </c>
      <c r="W85" s="46">
        <f>IF(Calculations!$E25&gt;COUNT(Output!$B$35:W$35),Calculations!$B25,IF(Calculations!$E25=COUNT(Output!$B$35:W$35),Inputs!$B58-Calculations!$C25*(Calculations!$E25-1)+Calculations!$D25,0))</f>
        <v>36.66666666666666</v>
      </c>
      <c r="X85" s="46">
        <f>IF(Calculations!$E25&gt;COUNT(Output!$B$35:X$35),Calculations!$B25,IF(Calculations!$E25=COUNT(Output!$B$35:X$35),Inputs!$B58-Calculations!$C25*(Calculations!$E25-1)+Calculations!$D25,0))</f>
        <v>36.66666666666666</v>
      </c>
      <c r="Y85" s="46">
        <f>IF(Calculations!$E25&gt;COUNT(Output!$B$35:Y$35),Calculations!$B25,IF(Calculations!$E25=COUNT(Output!$B$35:Y$35),Inputs!$B58-Calculations!$C25*(Calculations!$E25-1)+Calculations!$D25,0))</f>
        <v>36.66666666666666</v>
      </c>
      <c r="Z85" s="46">
        <f>SUMIF($B$13:$Y$13,"Yes",B85:Y85)</f>
        <v>476.6666666666667</v>
      </c>
      <c r="AA85" s="46">
        <f>SUM(B85:M85)</f>
        <v>440.0000000000001</v>
      </c>
      <c r="AB85" s="46">
        <f>SUM(B85:Y85)</f>
        <v>879.9999999999997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38876.6349653634</v>
      </c>
      <c r="C88" s="19">
        <f>SUM(C72:C82,C66,C60,C54,C48,C42,C36)</f>
        <v>38876.6349653634</v>
      </c>
      <c r="D88" s="19">
        <f>SUM(D72:D82,D66,D60,D54,D48,D42,D36)</f>
        <v>38876.6349653634</v>
      </c>
      <c r="E88" s="19">
        <f>SUM(E72:E82,E66,E60,E54,E48,E42,E36)</f>
        <v>33629.57614183398</v>
      </c>
      <c r="F88" s="19">
        <f>SUM(F72:F82,F66,F60,F54,F48,F42,F36)</f>
        <v>29631.53692614771</v>
      </c>
      <c r="G88" s="19">
        <f>SUM(G72:G82,G66,G60,G54,G48,G42,G36)</f>
        <v>29631.53692614771</v>
      </c>
      <c r="H88" s="19">
        <f>SUM(H72:H82,H66,H60,H54,H48,H42,H36)</f>
        <v>29631.53692614771</v>
      </c>
      <c r="I88" s="19">
        <f>SUM(I72:I82,I66,I60,I54,I48,I42,I36)</f>
        <v>29631.53692614771</v>
      </c>
      <c r="J88" s="19">
        <f>SUM(J72:J82,J66,J60,J54,J48,J42,J36)</f>
        <v>29631.53692614771</v>
      </c>
      <c r="K88" s="19">
        <f>SUM(K72:K82,K66,K60,K54,K48,K42,K36)</f>
        <v>29631.53692614771</v>
      </c>
      <c r="L88" s="19">
        <f>SUM(L72:L82,L66,L60,L54,L48,L42,L36)</f>
        <v>29631.53692614771</v>
      </c>
      <c r="M88" s="19">
        <f>SUM(M72:M82,M66,M60,M54,M48,M42,M36)</f>
        <v>29631.53692614771</v>
      </c>
      <c r="N88" s="19">
        <f>SUM(N72:N82,N66,N60,N54,N48,N42,N36)</f>
        <v>29631.53692614771</v>
      </c>
      <c r="O88" s="19">
        <f>SUM(O72:O82,O66,O60,O54,O48,O42,O36)</f>
        <v>29631.53692614771</v>
      </c>
      <c r="P88" s="19">
        <f>SUM(P72:P82,P66,P60,P54,P48,P42,P36)</f>
        <v>29631.53692614771</v>
      </c>
      <c r="Q88" s="19">
        <f>SUM(Q72:Q82,Q66,Q60,Q54,Q48,Q42,Q36)</f>
        <v>29631.53692614771</v>
      </c>
      <c r="R88" s="19">
        <f>SUM(R72:R82,R66,R60,R54,R48,R42,R36)</f>
        <v>29631.53692614771</v>
      </c>
      <c r="S88" s="19">
        <f>SUM(S72:S82,S66,S60,S54,S48,S42,S36)</f>
        <v>29631.53692614771</v>
      </c>
      <c r="T88" s="19">
        <f>SUM(T72:T82,T66,T60,T54,T48,T42,T36)</f>
        <v>29631.53692614771</v>
      </c>
      <c r="U88" s="19">
        <f>SUM(U72:U82,U66,U60,U54,U48,U42,U36)</f>
        <v>29631.53692614771</v>
      </c>
      <c r="V88" s="19">
        <f>SUM(V72:V82,V66,V60,V54,V48,V42,V36)</f>
        <v>29631.53692614771</v>
      </c>
      <c r="W88" s="19">
        <f>SUM(W72:W82,W66,W60,W54,W48,W42,W36)</f>
        <v>29631.53692614771</v>
      </c>
      <c r="X88" s="19">
        <f>SUM(X72:X82,X66,X60,X54,X48,X42,X36)</f>
        <v>29631.53692614771</v>
      </c>
      <c r="Y88" s="19">
        <f>SUM(Y72:Y82,Y66,Y60,Y54,Y48,Y42,Y36)</f>
        <v>29631.53692614771</v>
      </c>
      <c r="Z88" s="19">
        <f>SUMIF($B$13:$Y$13,"Yes",B88:Y88)</f>
        <v>416943.3133732535</v>
      </c>
      <c r="AA88" s="19">
        <f>SUM(B88:M88)</f>
        <v>387311.7764471058</v>
      </c>
      <c r="AB88" s="19">
        <f>SUM(B88:Y88)</f>
        <v>742890.2195608787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33000</v>
      </c>
    </row>
    <row r="95" spans="1:30">
      <c r="A95" t="s">
        <v>61</v>
      </c>
      <c r="B95" s="36">
        <f>Inputs!B47</f>
        <v>45000</v>
      </c>
    </row>
    <row r="96" spans="1:30">
      <c r="A96" t="s">
        <v>62</v>
      </c>
      <c r="B96" s="36">
        <f>SUMPRODUCT(Inputs!C19:C21,Calculations!O14:O16)</f>
        <v>160000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500000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788000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71400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171400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8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20000</v>
      </c>
    </row>
    <row r="31" spans="1:48">
      <c r="A31" s="5" t="s">
        <v>111</v>
      </c>
      <c r="B31" s="158">
        <v>5000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500000</v>
      </c>
    </row>
    <row r="46" spans="1:48" customHeight="1" ht="30">
      <c r="A46" s="57" t="s">
        <v>125</v>
      </c>
      <c r="B46" s="161">
        <v>50000</v>
      </c>
    </row>
    <row r="47" spans="1:48" customHeight="1" ht="30">
      <c r="A47" s="57" t="s">
        <v>126</v>
      </c>
      <c r="B47" s="161">
        <v>45000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33000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100000</v>
      </c>
      <c r="B56" s="159">
        <v>24400</v>
      </c>
      <c r="C56" s="162" t="s">
        <v>137</v>
      </c>
      <c r="D56" s="163" t="s">
        <v>138</v>
      </c>
      <c r="E56" s="163" t="s">
        <v>139</v>
      </c>
      <c r="F56" s="163" t="s">
        <v>140</v>
      </c>
    </row>
    <row r="57" spans="1:48">
      <c r="A57" s="157">
        <v>50000</v>
      </c>
      <c r="B57" s="157">
        <v>45000</v>
      </c>
      <c r="C57" s="164" t="s">
        <v>141</v>
      </c>
      <c r="D57" s="165" t="s">
        <v>142</v>
      </c>
      <c r="E57" s="165" t="s">
        <v>103</v>
      </c>
      <c r="F57" s="165" t="s">
        <v>143</v>
      </c>
    </row>
    <row r="58" spans="1:48">
      <c r="A58" s="157">
        <v>2000</v>
      </c>
      <c r="B58" s="157">
        <v>2000</v>
      </c>
      <c r="C58" s="164" t="s">
        <v>144</v>
      </c>
      <c r="D58" s="165" t="s">
        <v>145</v>
      </c>
      <c r="E58" s="165" t="s">
        <v>103</v>
      </c>
      <c r="F58" s="165" t="s">
        <v>146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148</v>
      </c>
      <c r="C65" s="10" t="s">
        <v>149</v>
      </c>
    </row>
    <row r="66" spans="1:48">
      <c r="A66" s="142" t="s">
        <v>150</v>
      </c>
      <c r="B66" s="159">
        <v>97850</v>
      </c>
      <c r="C66" s="163">
        <v>78542</v>
      </c>
      <c r="D66" s="49">
        <f>INDEX(Parameters!$D$79:$D$90,MATCH(Inputs!A66,Parameters!$C$79:$C$90,0))</f>
        <v>8</v>
      </c>
    </row>
    <row r="67" spans="1:48">
      <c r="A67" s="143" t="s">
        <v>151</v>
      </c>
      <c r="B67" s="157">
        <v>157850</v>
      </c>
      <c r="C67" s="165">
        <v>140361</v>
      </c>
      <c r="D67" s="49">
        <f>INDEX(Parameters!$D$79:$D$90,MATCH(Inputs!A67,Parameters!$C$79:$C$90,0))</f>
        <v>7</v>
      </c>
    </row>
    <row r="68" spans="1:48">
      <c r="A68" s="143" t="s">
        <v>152</v>
      </c>
      <c r="B68" s="157">
        <v>124682</v>
      </c>
      <c r="C68" s="165">
        <v>10874</v>
      </c>
      <c r="D68" s="49">
        <f>INDEX(Parameters!$D$79:$D$90,MATCH(Inputs!A68,Parameters!$C$79:$C$90,0))</f>
        <v>6</v>
      </c>
    </row>
    <row r="69" spans="1:48">
      <c r="A69" s="143" t="s">
        <v>153</v>
      </c>
      <c r="B69" s="157">
        <v>115482</v>
      </c>
      <c r="C69" s="165">
        <v>97852</v>
      </c>
      <c r="D69" s="49">
        <f>INDEX(Parameters!$D$79:$D$90,MATCH(Inputs!A69,Parameters!$C$79:$C$90,0))</f>
        <v>5</v>
      </c>
    </row>
    <row r="70" spans="1:48">
      <c r="A70" s="143" t="s">
        <v>154</v>
      </c>
      <c r="B70" s="157">
        <v>145890</v>
      </c>
      <c r="C70" s="165">
        <v>120156</v>
      </c>
      <c r="D70" s="49">
        <f>INDEX(Parameters!$D$79:$D$90,MATCH(Inputs!A70,Parameters!$C$79:$C$90,0))</f>
        <v>4</v>
      </c>
    </row>
    <row r="71" spans="1:48">
      <c r="A71" s="144" t="s">
        <v>155</v>
      </c>
      <c r="B71" s="158">
        <v>97845</v>
      </c>
      <c r="C71" s="167">
        <v>74581</v>
      </c>
      <c r="D71" s="49">
        <f>INDEX(Parameters!$D$79:$D$90,MATCH(Inputs!A71,Parameters!$C$79:$C$90,0))</f>
        <v>3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13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8</v>
      </c>
      <c r="AD4" s="60">
        <f>IF($A4=0,1/12,IFERROR(INDEX(Parameters!$X$2:$AI$17,MATCH(Calculations!$A4,Parameters!$A$2:$A$17,0),MONTH(Calculations!AD$3)),1/12))</f>
        <v>9</v>
      </c>
      <c r="AE4" s="60">
        <f>IF($A4=0,1/12,IFERROR(INDEX(Parameters!$X$2:$AI$17,MATCH(Calculations!$A4,Parameters!$A$2:$A$17,0),MONTH(Calculations!AE$3)),1/12))</f>
        <v>10</v>
      </c>
      <c r="AF4" s="60">
        <f>IF($A4=0,1/12,IFERROR(INDEX(Parameters!$X$2:$AI$17,MATCH(Calculations!$A4,Parameters!$A$2:$A$17,0),MONTH(Calculations!AF$3)),1/12))</f>
        <v>11</v>
      </c>
      <c r="AG4" s="60">
        <f>IF($A4=0,1/12,IFERROR(INDEX(Parameters!$X$2:$AI$17,MATCH(Calculations!$A4,Parameters!$A$2:$A$17,0),MONTH(Calculations!AG$3)),1/12))</f>
        <v>12</v>
      </c>
      <c r="AH4" s="60">
        <f>IF($A4=0,1/12,IFERROR(INDEX(Parameters!$X$2:$AI$17,MATCH(Calculations!$A4,Parameters!$A$2:$A$17,0),MONTH(Calculations!AH$3)),1/12))</f>
        <v>1</v>
      </c>
      <c r="AI4" s="60">
        <f>IF($A4=0,1/12,IFERROR(INDEX(Parameters!$X$2:$AI$17,MATCH(Calculations!$A4,Parameters!$A$2:$A$17,0),MONTH(Calculations!AI$3)),1/12))</f>
        <v>2</v>
      </c>
      <c r="AJ4" s="60">
        <f>IF($A4=0,1/12,IFERROR(INDEX(Parameters!$X$2:$AI$17,MATCH(Calculations!$A4,Parameters!$A$2:$A$17,0),MONTH(Calculations!AJ$3)),1/12))</f>
        <v>3</v>
      </c>
      <c r="AK4" s="60">
        <f>IF($A4=0,1/12,IFERROR(INDEX(Parameters!$X$2:$AI$17,MATCH(Calculations!$A4,Parameters!$A$2:$A$17,0),MONTH(Calculations!AK$3)),1/12))</f>
        <v>4</v>
      </c>
      <c r="AL4" s="60">
        <f>IF($A4=0,1/12,IFERROR(INDEX(Parameters!$X$2:$AI$17,MATCH(Calculations!$A4,Parameters!$A$2:$A$17,0),MONTH(Calculations!AL$3)),1/12))</f>
        <v>5</v>
      </c>
      <c r="AM4" s="60">
        <f>IF($A4=0,1/12,IFERROR(INDEX(Parameters!$X$2:$AI$17,MATCH(Calculations!$A4,Parameters!$A$2:$A$17,0),MONTH(Calculations!AM$3)),1/12))</f>
        <v>6</v>
      </c>
      <c r="AN4" s="60">
        <f>IF($A4=0,1/12,IFERROR(INDEX(Parameters!$X$2:$AI$17,MATCH(Calculations!$A4,Parameters!$A$2:$A$17,0),MONTH(Calculations!AN$3)),1/12))</f>
        <v>7</v>
      </c>
      <c r="AO4" s="60">
        <f>IF($A4=0,1/12,IFERROR(INDEX(Parameters!$X$2:$AI$17,MATCH(Calculations!$A4,Parameters!$A$2:$A$17,0),MONTH(Calculations!AO$3)),1/12))</f>
        <v>8</v>
      </c>
      <c r="AP4" s="60">
        <f>IF($A4=0,1/12,IFERROR(INDEX(Parameters!$X$2:$AI$17,MATCH(Calculations!$A4,Parameters!$A$2:$A$17,0),MONTH(Calculations!AP$3)),1/12))</f>
        <v>9</v>
      </c>
      <c r="AQ4" s="60">
        <f>IF($A4=0,1/12,IFERROR(INDEX(Parameters!$X$2:$AI$17,MATCH(Calculations!$A4,Parameters!$A$2:$A$17,0),MONTH(Calculations!AQ$3)),1/12))</f>
        <v>10</v>
      </c>
      <c r="AR4" s="60">
        <f>IF($A4=0,1/12,IFERROR(INDEX(Parameters!$X$2:$AI$17,MATCH(Calculations!$A4,Parameters!$A$2:$A$17,0),MONTH(Calculations!AR$3)),1/12))</f>
        <v>11</v>
      </c>
      <c r="AS4" s="60">
        <f>IF($A4=0,1/12,IFERROR(INDEX(Parameters!$X$2:$AI$17,MATCH(Calculations!$A4,Parameters!$A$2:$A$17,0),MONTH(Calculations!AS$3)),1/12))</f>
        <v>12</v>
      </c>
      <c r="AT4" s="60">
        <f>IF($A4=0,1/12,IFERROR(INDEX(Parameters!$X$2:$AI$17,MATCH(Calculations!$A4,Parameters!$A$2:$A$17,0),MONTH(Calculations!AT$3)),1/12))</f>
        <v>1</v>
      </c>
      <c r="AU4" s="60">
        <f>IF($A4=0,1/12,IFERROR(INDEX(Parameters!$X$2:$AI$17,MATCH(Calculations!$A4,Parameters!$A$2:$A$17,0),MONTH(Calculations!AU$3)),1/12))</f>
        <v>2</v>
      </c>
      <c r="AV4" s="60">
        <f>IF($A4=0,1/12,IFERROR(INDEX(Parameters!$X$2:$AI$17,MATCH(Calculations!$A4,Parameters!$A$2:$A$17,0),MONTH(Calculations!AV$3)),1/12))</f>
        <v>3</v>
      </c>
      <c r="AW4" s="60">
        <f>IF($A4=0,1/12,IFERROR(INDEX(Parameters!$X$2:$AI$17,MATCH(Calculations!$A4,Parameters!$A$2:$A$17,0),MONTH(Calculations!AW$3)),1/12))</f>
        <v>4</v>
      </c>
      <c r="AX4" s="60">
        <f>IF($A4=0,1/12,IFERROR(INDEX(Parameters!$X$2:$AI$17,MATCH(Calculations!$A4,Parameters!$A$2:$A$17,0),MONTH(Calculations!AX$3)),1/12))</f>
        <v>5</v>
      </c>
      <c r="AY4" s="60">
        <f>IF($A4=0,1/12,IFERROR(INDEX(Parameters!$X$2:$AI$17,MATCH(Calculations!$A4,Parameters!$A$2:$A$17,0),MONTH(Calculations!AY$3)),1/12))</f>
        <v>6</v>
      </c>
      <c r="AZ4" s="60">
        <f>IF($A4=0,1/12,IFERROR(INDEX(Parameters!$X$2:$AI$17,MATCH(Calculations!$A4,Parameters!$A$2:$A$17,0),MONTH(Calculations!AZ$3)),1/12))</f>
        <v>7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</v>
      </c>
      <c r="AD5" s="22">
        <f>IF($A5=0,1/12,IFERROR(INDEX(Parameters!$X$2:$AI$17,MATCH(Calculations!$A5,Parameters!$A$2:$A$17,0),MONTH(Calculations!AD$3)),1/12))</f>
        <v>9</v>
      </c>
      <c r="AE5" s="22">
        <f>IF($A5=0,1/12,IFERROR(INDEX(Parameters!$X$2:$AI$17,MATCH(Calculations!$A5,Parameters!$A$2:$A$17,0),MONTH(Calculations!AE$3)),1/12))</f>
        <v>10</v>
      </c>
      <c r="AF5" s="22">
        <f>IF($A5=0,1/12,IFERROR(INDEX(Parameters!$X$2:$AI$17,MATCH(Calculations!$A5,Parameters!$A$2:$A$17,0),MONTH(Calculations!AF$3)),1/12))</f>
        <v>11</v>
      </c>
      <c r="AG5" s="22">
        <f>IF($A5=0,1/12,IFERROR(INDEX(Parameters!$X$2:$AI$17,MATCH(Calculations!$A5,Parameters!$A$2:$A$17,0),MONTH(Calculations!AG$3)),1/12))</f>
        <v>12</v>
      </c>
      <c r="AH5" s="22">
        <f>IF($A5=0,1/12,IFERROR(INDEX(Parameters!$X$2:$AI$17,MATCH(Calculations!$A5,Parameters!$A$2:$A$17,0),MONTH(Calculations!AH$3)),1/12))</f>
        <v>1</v>
      </c>
      <c r="AI5" s="22">
        <f>IF($A5=0,1/12,IFERROR(INDEX(Parameters!$X$2:$AI$17,MATCH(Calculations!$A5,Parameters!$A$2:$A$17,0),MONTH(Calculations!AI$3)),1/12))</f>
        <v>2</v>
      </c>
      <c r="AJ5" s="22">
        <f>IF($A5=0,1/12,IFERROR(INDEX(Parameters!$X$2:$AI$17,MATCH(Calculations!$A5,Parameters!$A$2:$A$17,0),MONTH(Calculations!AJ$3)),1/12))</f>
        <v>3</v>
      </c>
      <c r="AK5" s="22">
        <f>IF($A5=0,1/12,IFERROR(INDEX(Parameters!$X$2:$AI$17,MATCH(Calculations!$A5,Parameters!$A$2:$A$17,0),MONTH(Calculations!AK$3)),1/12))</f>
        <v>4</v>
      </c>
      <c r="AL5" s="22">
        <f>IF($A5=0,1/12,IFERROR(INDEX(Parameters!$X$2:$AI$17,MATCH(Calculations!$A5,Parameters!$A$2:$A$17,0),MONTH(Calculations!AL$3)),1/12))</f>
        <v>5</v>
      </c>
      <c r="AM5" s="22">
        <f>IF($A5=0,1/12,IFERROR(INDEX(Parameters!$X$2:$AI$17,MATCH(Calculations!$A5,Parameters!$A$2:$A$17,0),MONTH(Calculations!AM$3)),1/12))</f>
        <v>6</v>
      </c>
      <c r="AN5" s="22">
        <f>IF($A5=0,1/12,IFERROR(INDEX(Parameters!$X$2:$AI$17,MATCH(Calculations!$A5,Parameters!$A$2:$A$17,0),MONTH(Calculations!AN$3)),1/12))</f>
        <v>7</v>
      </c>
      <c r="AO5" s="22">
        <f>IF($A5=0,1/12,IFERROR(INDEX(Parameters!$X$2:$AI$17,MATCH(Calculations!$A5,Parameters!$A$2:$A$17,0),MONTH(Calculations!AO$3)),1/12))</f>
        <v>8</v>
      </c>
      <c r="AP5" s="22">
        <f>IF($A5=0,1/12,IFERROR(INDEX(Parameters!$X$2:$AI$17,MATCH(Calculations!$A5,Parameters!$A$2:$A$17,0),MONTH(Calculations!AP$3)),1/12))</f>
        <v>9</v>
      </c>
      <c r="AQ5" s="22">
        <f>IF($A5=0,1/12,IFERROR(INDEX(Parameters!$X$2:$AI$17,MATCH(Calculations!$A5,Parameters!$A$2:$A$17,0),MONTH(Calculations!AQ$3)),1/12))</f>
        <v>10</v>
      </c>
      <c r="AR5" s="22">
        <f>IF($A5=0,1/12,IFERROR(INDEX(Parameters!$X$2:$AI$17,MATCH(Calculations!$A5,Parameters!$A$2:$A$17,0),MONTH(Calculations!AR$3)),1/12))</f>
        <v>11</v>
      </c>
      <c r="AS5" s="22">
        <f>IF($A5=0,1/12,IFERROR(INDEX(Parameters!$X$2:$AI$17,MATCH(Calculations!$A5,Parameters!$A$2:$A$17,0),MONTH(Calculations!AS$3)),1/12))</f>
        <v>12</v>
      </c>
      <c r="AT5" s="22">
        <f>IF($A5=0,1/12,IFERROR(INDEX(Parameters!$X$2:$AI$17,MATCH(Calculations!$A5,Parameters!$A$2:$A$17,0),MONTH(Calculations!AT$3)),1/12))</f>
        <v>1</v>
      </c>
      <c r="AU5" s="22">
        <f>IF($A5=0,1/12,IFERROR(INDEX(Parameters!$X$2:$AI$17,MATCH(Calculations!$A5,Parameters!$A$2:$A$17,0),MONTH(Calculations!AU$3)),1/12))</f>
        <v>2</v>
      </c>
      <c r="AV5" s="22">
        <f>IF($A5=0,1/12,IFERROR(INDEX(Parameters!$X$2:$AI$17,MATCH(Calculations!$A5,Parameters!$A$2:$A$17,0),MONTH(Calculations!AV$3)),1/12))</f>
        <v>3</v>
      </c>
      <c r="AW5" s="22">
        <f>IF($A5=0,1/12,IFERROR(INDEX(Parameters!$X$2:$AI$17,MATCH(Calculations!$A5,Parameters!$A$2:$A$17,0),MONTH(Calculations!AW$3)),1/12))</f>
        <v>4</v>
      </c>
      <c r="AX5" s="22">
        <f>IF($A5=0,1/12,IFERROR(INDEX(Parameters!$X$2:$AI$17,MATCH(Calculations!$A5,Parameters!$A$2:$A$17,0),MONTH(Calculations!AX$3)),1/12))</f>
        <v>5</v>
      </c>
      <c r="AY5" s="22">
        <f>IF($A5=0,1/12,IFERROR(INDEX(Parameters!$X$2:$AI$17,MATCH(Calculations!$A5,Parameters!$A$2:$A$17,0),MONTH(Calculations!AY$3)),1/12))</f>
        <v>6</v>
      </c>
      <c r="AZ5" s="22">
        <f>IF($A5=0,1/12,IFERROR(INDEX(Parameters!$X$2:$AI$17,MATCH(Calculations!$A5,Parameters!$A$2:$A$17,0),MONTH(Calculations!AZ$3)),1/12))</f>
        <v>7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Pigs</v>
      </c>
      <c r="B14" s="20" t="str">
        <f>IFERROR(VLOOKUP(A14,Parameters!$A$23:$B$30,2,0),"")</f>
        <v>meat</v>
      </c>
      <c r="C14" s="20" t="str">
        <f>IF(Inputs!A19=Parameters!$A$30,Inputs!B19,A14&amp;": "&amp;B14)</f>
        <v>Pigs: meat</v>
      </c>
      <c r="D14" s="16">
        <f>Inputs!C19</f>
        <v>8</v>
      </c>
      <c r="E14" s="16">
        <f>Inputs!D19</f>
        <v/>
      </c>
      <c r="F14">
        <f>IFERROR(INDEX(Parameters!$A$22:$P$29,MATCH(Calculations!$A14,Parameters!$A$22:$A$29,0),MATCH(Parameters!$P$22,Parameters!$A$22:$P$22,0)),"")</f>
        <v>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72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300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345600</v>
      </c>
      <c r="Q14" s="63">
        <f>IFERROR(D14*INDEX(Parameters!$A$22:$P$29,MATCH(Calculations!$A14,Parameters!$A$22:$A$29,0),MATCH(Parameters!$L$22,Parameters!$A$22:$P$22,0))*IF(Inputs!I19="Always",1,IF(Inputs!I19="Sometimes",0.5,0))*365,"")</f>
        <v>87600</v>
      </c>
      <c r="R14" s="63">
        <f>IFERROR(D14*INDEX(Parameters!$A$22:$P$29,MATCH(Calculations!$A14,Parameters!$A$22:$A$29,0),MATCH(Parameters!$M$22,Parameters!$A$22:$P$22,0)),"")</f>
        <v>1600</v>
      </c>
      <c r="S14" s="63">
        <f>IFERROR(D14*INDEX(Parameters!$A$22:$P$29,MATCH(Calculations!$A14,Parameters!$A$22:$A$29,0),MATCH(Parameters!$N$22,Parameters!$A$22:$P$22,0)),"")</f>
        <v>16000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100000</v>
      </c>
      <c r="B23" s="75">
        <f>SUM(C23:D23)</f>
        <v>9245.098039215687</v>
      </c>
      <c r="C23" s="75">
        <f>IF(Inputs!B56&gt;0,(Inputs!A56-Inputs!B56)/(DATE(YEAR(Inputs!$B$76),MONTH(Inputs!$B$76),DAY(Inputs!$B$76))-DATE(YEAR(Inputs!C56),MONTH(Inputs!C56),DAY(Inputs!C56)))*30,0)</f>
        <v>7411.764705882353</v>
      </c>
      <c r="D23" s="75">
        <f>IF(Inputs!B56&gt;0,Inputs!A56*0.22/12,0)</f>
        <v>1833.333333333333</v>
      </c>
      <c r="E23" s="75">
        <f>IFERROR(ROUNDUP(Inputs!B56/C23,0),0)</f>
        <v>4</v>
      </c>
    </row>
    <row r="24" spans="1:52">
      <c r="A24" s="46">
        <f>Inputs!A57</f>
        <v>50000</v>
      </c>
      <c r="B24" s="46">
        <f>SUM(C24:D24)</f>
        <v>1814.870259481038</v>
      </c>
      <c r="C24" s="46">
        <f>IF(Inputs!B57&gt;0,(Inputs!A57-Inputs!B57)/(DATE(YEAR(Inputs!$B$76),MONTH(Inputs!$B$76),DAY(Inputs!$B$76))-DATE(YEAR(Inputs!C57),MONTH(Inputs!C57),DAY(Inputs!C57)))*30,0)</f>
        <v>898.2035928143713</v>
      </c>
      <c r="D24" s="46">
        <f>IF(Inputs!B57&gt;0,Inputs!A57*0.22/12,0)</f>
        <v>916.6666666666666</v>
      </c>
      <c r="E24" s="46">
        <f>IFERROR(ROUNDUP(Inputs!B57/B24,0),0)</f>
        <v>25</v>
      </c>
      <c r="H24" s="1"/>
    </row>
    <row r="25" spans="1:52">
      <c r="A25" s="46">
        <f>Inputs!A58</f>
        <v>2000</v>
      </c>
      <c r="B25" s="46">
        <f>SUM(C25:D25)</f>
        <v>36.66666666666666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36.66666666666666</v>
      </c>
      <c r="E25" s="46">
        <f>IFERROR(ROUNDUP(Inputs!B58/B25,0),0)</f>
        <v>55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42999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42979</v>
      </c>
      <c r="F33" t="s">
        <v>161</v>
      </c>
      <c r="G33" s="128">
        <f>IF(Inputs!B79="","",DATE(YEAR(Inputs!B79),MONTH(Inputs!B79),DAY(Inputs!B79)))</f>
        <v>42968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43029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43009</v>
      </c>
      <c r="F34" t="s">
        <v>162</v>
      </c>
      <c r="G34" s="128">
        <f>IF(Inputs!B80="","",DATE(YEAR(Inputs!B80),MONTH(Inputs!B80),DAY(Inputs!B80)))</f>
        <v>42999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43060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43040</v>
      </c>
      <c r="F35" t="s">
        <v>164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43090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43070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43121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43101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43152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43132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43180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43160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43211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43191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43241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43221</v>
      </c>
      <c r="F41" t="s">
        <v>228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43272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43252</v>
      </c>
      <c r="F42" t="s">
        <v>229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43302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43282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43333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43313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299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299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299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102</v>
      </c>
      <c r="B29" s="118" t="s">
        <v>299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90</v>
      </c>
      <c r="B41" s="191" t="s">
        <v>139</v>
      </c>
      <c r="C41" s="191" t="s">
        <v>103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300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102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316</v>
      </c>
      <c r="H52" s="12" t="s">
        <v>122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230</v>
      </c>
      <c r="E53" s="10" t="s">
        <v>189</v>
      </c>
      <c r="F53" s="10" t="s">
        <v>249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139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139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139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139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139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139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139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167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226</v>
      </c>
      <c r="J76" s="11" t="s">
        <v>350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351</v>
      </c>
      <c r="E77" s="12" t="s">
        <v>139</v>
      </c>
      <c r="F77" s="12" t="s">
        <v>139</v>
      </c>
      <c r="G77" s="12" t="s">
        <v>352</v>
      </c>
      <c r="H77" s="12" t="s">
        <v>122</v>
      </c>
      <c r="I77" s="12" t="s">
        <v>353</v>
      </c>
      <c r="J77" s="136" t="s">
        <v>354</v>
      </c>
      <c r="K77" s="12" t="s">
        <v>139</v>
      </c>
      <c r="AJ77" s="12"/>
    </row>
    <row r="78" spans="1:36">
      <c r="A78" t="s">
        <v>139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317</v>
      </c>
      <c r="I78" s="12" t="s">
        <v>359</v>
      </c>
      <c r="J78" s="70" t="s">
        <v>360</v>
      </c>
      <c r="K78" s="12" t="s">
        <v>139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104</v>
      </c>
      <c r="I79" s="12" t="s">
        <v>167</v>
      </c>
      <c r="J79" s="70" t="s">
        <v>364</v>
      </c>
      <c r="K79" s="12" t="s">
        <v>139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366</v>
      </c>
      <c r="F80" s="12" t="s">
        <v>367</v>
      </c>
      <c r="J80" s="70" t="s">
        <v>368</v>
      </c>
      <c r="K80" s="12" t="s">
        <v>103</v>
      </c>
      <c r="AJ80" s="12"/>
    </row>
    <row r="81" spans="1:36">
      <c r="B81" s="176">
        <v>30</v>
      </c>
      <c r="C81" s="12" t="s">
        <v>155</v>
      </c>
      <c r="D81" s="12">
        <f>D80+1</f>
        <v>3</v>
      </c>
      <c r="J81" s="70" t="s">
        <v>369</v>
      </c>
      <c r="K81" s="12" t="s">
        <v>103</v>
      </c>
    </row>
    <row r="82" spans="1:36">
      <c r="B82" s="176">
        <v>40</v>
      </c>
      <c r="C82" s="12" t="s">
        <v>154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370</v>
      </c>
      <c r="D87" s="12">
        <f>D86+1</f>
        <v>9</v>
      </c>
    </row>
    <row r="88" spans="1:36">
      <c r="B88" s="176">
        <v>99.99999999999999</v>
      </c>
      <c r="C88" s="12" t="s">
        <v>371</v>
      </c>
      <c r="D88" s="12">
        <f>D87+1</f>
        <v>10</v>
      </c>
    </row>
    <row r="89" spans="1:36">
      <c r="C89" s="12" t="s">
        <v>372</v>
      </c>
      <c r="D89" s="12">
        <f>D88+1</f>
        <v>11</v>
      </c>
    </row>
    <row r="90" spans="1:36">
      <c r="C90" s="12" t="s">
        <v>373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