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<sst xmlns="http://schemas.openxmlformats.org/spreadsheetml/2006/main" uniqueCount="375">
  <si>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</si>
  <si>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</si>
  <si>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</si>
  <si>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</si>
  <si>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</si>
  <si>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</si>
  <si>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</si>
  <si>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</si>
  <si>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</si>
  <si>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</si>
  <si>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</si>
  <si>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</si>
  <si>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</si>
  <si>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</si>
  <si>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</si>
  <si>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</si>
  <si>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</si>
  <si>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</si>
  <si>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</si>
  <si>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</si>
  <si>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</si>
  <si>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</si>
  <si>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</si>
  <si>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</si>
  <si>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</si>
  <si>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</si>
  <si>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</si>
  <si>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</si>
  <si>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</si>
  <si>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</si>
  <si>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</si>
  <si>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</si>
  <si>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</si>
  <si>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</si>
  <si>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</si>
  <si>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</si>
  <si>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</si>
  <si>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</si>
  <si>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</si>
  <si>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</si>
  <si>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</si>
  <si>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</si>
  <si>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</si>
  <si>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</si>
  <si>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</si>
  <si>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</si>
  <si>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</si>
  <si>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</si>
  <si>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</si>
  <si>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</si>
  <si>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</si>
  <si>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</si>
  <si>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</si>
  <si>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</si>
  <si>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</si>
  <si>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</si>
  <si>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</si>
  <si>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</si>
  <si>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</si>
  <si>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</si>
  <si>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</si>
  <si>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</si>
  <si>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</si>
  <si>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</si>
  <si>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</si>
  <si>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</si>
  <si>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</si>
  <si>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</si>
  <si>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</si>
  <si>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</si>
  <si>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</si>
  <si>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</si>
  <si>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</si>
  <si>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</si>
  <si>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</si>
  <si>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</si>
  <si>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</si>
  <si>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</si>
  <si>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</si>
  <si>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</si>
  <si>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</si>
  <si>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</si>
  <si>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</si>
  <si>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</si>
  <si>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</si>
  <si>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</si>
  <si>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</si>
  <si>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</si>
  <si>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</si>
  <si>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</si>
  <si>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</si>
  <si>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</si>
  <si>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</si>
  <si>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</si>
  <si>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September</t>
  </si>
  <si>
    <t>Other crops</t>
  </si>
  <si>
    <t>Home recycled</t>
  </si>
  <si>
    <t>Yes only manure</t>
  </si>
  <si>
    <t>no planting_trees are mature</t>
  </si>
  <si>
    <t>every month</t>
  </si>
  <si>
    <t>sugarcane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</si>
  <si>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</si>
  <si>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</si>
  <si>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</si>
  <si>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</si>
  <si>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</si>
  <si>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</si>
  <si>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</si>
  <si>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</si>
  <si>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</si>
  <si>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</si>
  <si>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</si>
  <si>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</si>
  <si>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</si>
  <si>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</si>
  <si>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</si>
  <si>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</si>
  <si>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</si>
  <si>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</si>
  <si>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</si>
  <si>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</si>
  <si>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</si>
  <si>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</si>
  <si>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</si>
  <si>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</si>
  <si>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</si>
  <si>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</si>
  <si>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</si>
  <si>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</si>
  <si>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</si>
  <si>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</si>
  <si>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</si>
  <si>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</si>
  <si>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</si>
  <si>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</si>
  <si>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</si>
  <si>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</si>
  <si>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</si>
  <si>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</si>
  <si>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</si>
  <si>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</si>
  <si>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</si>
  <si>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</si>
  <si>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</si>
  <si>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</si>
  <si>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</si>
  <si>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</si>
  <si>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</si>
  <si>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1/22/2016</t>
  </si>
  <si>
    <t>Musoni</t>
  </si>
  <si>
    <t>Trp 100%</t>
  </si>
  <si>
    <t>10/22/2016</t>
  </si>
  <si>
    <t>musoni</t>
  </si>
  <si>
    <t>trp 100%</t>
  </si>
  <si>
    <t>4/14/2017</t>
  </si>
  <si>
    <t>Mobile banking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</si>
  <si>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</si>
  <si>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</si>
  <si>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</si>
  <si>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</si>
  <si>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</si>
  <si>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</si>
  <si>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</si>
  <si>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</si>
  <si>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</si>
  <si>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</si>
  <si>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</si>
  <si>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</si>
  <si>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2017/8/22</t>
  </si>
  <si>
    <t>Loan terms</t>
  </si>
  <si>
    <t>Expected disbursement date</t>
  </si>
  <si>
    <t>Expected first repayment date</t>
  </si>
  <si>
    <t>2017/9/22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</si>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</sst>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sugarcane,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0.9162417571845228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>
        <f>IFERROR(Output!B107/Output!B101,"")</f>
        <v>0.02373807458803122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49230.83621675395</v>
      </c>
    </row>
    <row r="18" spans="1:7">
      <c r="B18" s="1" t="s">
        <v>12</v>
      </c>
      <c r="C18" s="36">
        <f>MIN(Output!B6:M6)</f>
        <v>-36285.98115434208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46211.26584342429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138333.3333333333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-4901.981154342076</v>
      </c>
      <c r="C6" s="51">
        <f>C30-C88</f>
        <v>-36285.98115434208</v>
      </c>
      <c r="D6" s="51">
        <f>D30-D88</f>
        <v>-17861.98115434208</v>
      </c>
      <c r="E6" s="51">
        <f>E30-E88</f>
        <v>-20785.6653648684</v>
      </c>
      <c r="F6" s="51">
        <f>F30-F88</f>
        <v>-2651.235540306989</v>
      </c>
      <c r="G6" s="51">
        <f>G30-G88</f>
        <v>-251.2355403069887</v>
      </c>
      <c r="H6" s="51">
        <f>H30-H88</f>
        <v>6206.162685582261</v>
      </c>
      <c r="I6" s="51">
        <f>I30-I88</f>
        <v>41425.19421717696</v>
      </c>
      <c r="J6" s="51">
        <f>J30-J88</f>
        <v>46211.26584342429</v>
      </c>
      <c r="K6" s="51">
        <f>K30-K88</f>
        <v>12708.76445969301</v>
      </c>
      <c r="L6" s="51">
        <f>L30-L88</f>
        <v>12708.76445969301</v>
      </c>
      <c r="M6" s="51">
        <f>M30-M88</f>
        <v>12708.76445969301</v>
      </c>
      <c r="N6" s="51">
        <f>N30-N88</f>
        <v>12708.76445969301</v>
      </c>
      <c r="O6" s="51">
        <f>O30-O88</f>
        <v>-18675.23554030699</v>
      </c>
      <c r="P6" s="51">
        <f>P30-P88</f>
        <v>-251.2355403069887</v>
      </c>
      <c r="Q6" s="51">
        <f>Q30-Q88</f>
        <v>-251.2355403069887</v>
      </c>
      <c r="R6" s="51">
        <f>R30-R88</f>
        <v>-2651.235540306989</v>
      </c>
      <c r="S6" s="51">
        <f>S30-S88</f>
        <v>-251.2355403069887</v>
      </c>
      <c r="T6" s="51">
        <f>T30-T88</f>
        <v>6206.162685582261</v>
      </c>
      <c r="U6" s="51">
        <f>U30-U88</f>
        <v>41425.19421717696</v>
      </c>
      <c r="V6" s="51">
        <f>V30-V88</f>
        <v>46211.26584342429</v>
      </c>
      <c r="W6" s="51">
        <f>W30-W88</f>
        <v>12708.76445969301</v>
      </c>
      <c r="X6" s="51">
        <f>X30-X88</f>
        <v>12708.76445969301</v>
      </c>
      <c r="Y6" s="51">
        <f>Y30-Y88</f>
        <v>12708.76445969301</v>
      </c>
      <c r="Z6" s="51">
        <f>SUMIF($B$13:$Y$13,"Yes",B6:Y6)</f>
        <v>61939.60067644696</v>
      </c>
      <c r="AA6" s="51">
        <f>AA30-AA88</f>
        <v>49230.83621675405</v>
      </c>
      <c r="AB6" s="51">
        <f>AB30-AB88</f>
        <v>171828.3391001747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-2550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23765</v>
      </c>
      <c r="J7" s="80">
        <f>IF(ISERROR(VLOOKUP(MONTH(J5),Inputs!$D$66:$D$71,1,0)),"",INDEX(Inputs!$B$66:$B$71,MATCH(MONTH(Output!J5),Inputs!$D$66:$D$71,0))-INDEX(Inputs!$C$66:$C$71,MATCH(MONTH(Output!J5),Inputs!$D$66:$D$71,0)))</f>
        <v>2116950</v>
      </c>
      <c r="K7" s="80">
        <f>IF(ISERROR(VLOOKUP(MONTH(K5),Inputs!$D$66:$D$71,1,0)),"",INDEX(Inputs!$B$66:$B$71,MATCH(MONTH(Output!K5),Inputs!$D$66:$D$71,0))-INDEX(Inputs!$C$66:$C$71,MATCH(MONTH(Output!K5),Inputs!$D$66:$D$71,0)))</f>
        <v>13187</v>
      </c>
      <c r="L7" s="80">
        <f>IF(ISERROR(VLOOKUP(MONTH(L5),Inputs!$D$66:$D$71,1,0)),"",INDEX(Inputs!$B$66:$B$71,MATCH(MONTH(Output!L5),Inputs!$D$66:$D$71,0))-INDEX(Inputs!$C$66:$C$71,MATCH(MONTH(Output!L5),Inputs!$D$66:$D$71,0)))</f>
        <v>32982</v>
      </c>
      <c r="M7" s="80">
        <f>IF(ISERROR(VLOOKUP(MONTH(M5),Inputs!$D$66:$D$71,1,0)),"",INDEX(Inputs!$B$66:$B$71,MATCH(MONTH(Output!M5),Inputs!$D$66:$D$71,0))-INDEX(Inputs!$C$66:$C$71,MATCH(MONTH(Output!M5),Inputs!$D$66:$D$71,0)))</f>
        <v>21120</v>
      </c>
      <c r="N7" s="80">
        <f>IF(ISERROR(VLOOKUP(MONTH(N5),Inputs!$D$66:$D$71,1,0)),"",INDEX(Inputs!$B$66:$B$71,MATCH(MONTH(Output!N5),Inputs!$D$66:$D$71,0))-INDEX(Inputs!$C$66:$C$71,MATCH(MONTH(Output!N5),Inputs!$D$66:$D$71,0)))</f>
        <v>-2550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23765</v>
      </c>
      <c r="V7" s="80">
        <f>IF(ISERROR(VLOOKUP(MONTH(V5),Inputs!$D$66:$D$71,1,0)),"",INDEX(Inputs!$B$66:$B$71,MATCH(MONTH(Output!V5),Inputs!$D$66:$D$71,0))-INDEX(Inputs!$C$66:$C$71,MATCH(MONTH(Output!V5),Inputs!$D$66:$D$71,0)))</f>
        <v>2116950</v>
      </c>
      <c r="W7" s="80">
        <f>IF(ISERROR(VLOOKUP(MONTH(W5),Inputs!$D$66:$D$71,1,0)),"",INDEX(Inputs!$B$66:$B$71,MATCH(MONTH(Output!W5),Inputs!$D$66:$D$71,0))-INDEX(Inputs!$C$66:$C$71,MATCH(MONTH(Output!W5),Inputs!$D$66:$D$71,0)))</f>
        <v>13187</v>
      </c>
      <c r="X7" s="80">
        <f>IF(ISERROR(VLOOKUP(MONTH(X5),Inputs!$D$66:$D$71,1,0)),"",INDEX(Inputs!$B$66:$B$71,MATCH(MONTH(Output!X5),Inputs!$D$66:$D$71,0))-INDEX(Inputs!$C$66:$C$71,MATCH(MONTH(Output!X5),Inputs!$D$66:$D$71,0)))</f>
        <v>32982</v>
      </c>
      <c r="Y7" s="80">
        <f>IF(ISERROR(VLOOKUP(MONTH(Y5),Inputs!$D$66:$D$71,1,0)),"",INDEX(Inputs!$B$66:$B$71,MATCH(MONTH(Output!Y5),Inputs!$D$66:$D$71,0))-INDEX(Inputs!$C$66:$C$71,MATCH(MONTH(Output!Y5),Inputs!$D$66:$D$71,0)))</f>
        <v>21120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195098.0188456579</v>
      </c>
      <c r="C11" s="80">
        <f>C6+C9-C10</f>
        <v>-56285.98115434208</v>
      </c>
      <c r="D11" s="80">
        <f>D6+D9-D10</f>
        <v>-37861.98115434208</v>
      </c>
      <c r="E11" s="80">
        <f>E6+E9-E10</f>
        <v>-40785.6653648684</v>
      </c>
      <c r="F11" s="80">
        <f>F6+F9-F10</f>
        <v>-22651.23554030699</v>
      </c>
      <c r="G11" s="80">
        <f>G6+G9-G10</f>
        <v>-20251.23554030699</v>
      </c>
      <c r="H11" s="80">
        <f>H6+H9-H10</f>
        <v>-13793.83731441774</v>
      </c>
      <c r="I11" s="80">
        <f>I6+I9-I10</f>
        <v>21425.19421717696</v>
      </c>
      <c r="J11" s="80">
        <f>J6+J9-J10</f>
        <v>26211.26584342429</v>
      </c>
      <c r="K11" s="80">
        <f>K6+K9-K10</f>
        <v>-7291.235540306989</v>
      </c>
      <c r="L11" s="80">
        <f>L6+L9-L10</f>
        <v>-7291.235540306989</v>
      </c>
      <c r="M11" s="80">
        <f>M6+M9-M10</f>
        <v>-7291.235540306989</v>
      </c>
      <c r="N11" s="80">
        <f>N6+N9-N10</f>
        <v>-7291.235540306989</v>
      </c>
      <c r="O11" s="80">
        <f>O6+O9-O10</f>
        <v>-18675.23554030699</v>
      </c>
      <c r="P11" s="80">
        <f>P6+P9-P10</f>
        <v>-251.2355403069887</v>
      </c>
      <c r="Q11" s="80">
        <f>Q6+Q9-Q10</f>
        <v>-251.2355403069887</v>
      </c>
      <c r="R11" s="80">
        <f>R6+R9-R10</f>
        <v>-2651.235540306989</v>
      </c>
      <c r="S11" s="80">
        <f>S6+S9-S10</f>
        <v>-251.2355403069887</v>
      </c>
      <c r="T11" s="80">
        <f>T6+T9-T10</f>
        <v>6206.162685582261</v>
      </c>
      <c r="U11" s="80">
        <f>U6+U9-U10</f>
        <v>41425.19421717696</v>
      </c>
      <c r="V11" s="80">
        <f>V6+V9-V10</f>
        <v>46211.26584342429</v>
      </c>
      <c r="W11" s="80">
        <f>W6+W9-W10</f>
        <v>12708.76445969301</v>
      </c>
      <c r="X11" s="80">
        <f>X6+X9-X10</f>
        <v>12708.76445969301</v>
      </c>
      <c r="Y11" s="80">
        <f>Y6+Y9-Y10</f>
        <v>12708.76445969301</v>
      </c>
      <c r="Z11" s="85">
        <f>SUMIF($B$13:$Y$13,"Yes",B11:Y11)</f>
        <v>21939.60067644697</v>
      </c>
      <c r="AA11" s="80">
        <f>SUM(B11:M11)</f>
        <v>29230.83621675396</v>
      </c>
      <c r="AB11" s="46">
        <f>SUM(B11:Y11)</f>
        <v>131828.3391001746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0.1259350379904712</v>
      </c>
      <c r="D12" s="82">
        <f>IF(D13="Yes",IF(SUM($B$10:D10)/(SUM($B$6:D6)+SUM($B$9:D9))&lt;0,999.99,SUM($B$10:D10)/(SUM($B$6:D6)+SUM($B$9:D9))),"")</f>
        <v>0.2837884636783191</v>
      </c>
      <c r="E12" s="82">
        <f>IF(E13="Yes",IF(SUM($B$10:E10)/(SUM($B$6:E6)+SUM($B$9:E9))&lt;0,999.99,SUM($B$10:E10)/(SUM($B$6:E6)+SUM($B$9:E9))),"")</f>
        <v>0.4993159738484011</v>
      </c>
      <c r="F12" s="82">
        <f>IF(F13="Yes",IF(SUM($B$10:F10)/(SUM($B$6:F6)+SUM($B$9:F9))&lt;0,999.99,SUM($B$10:F10)/(SUM($B$6:F6)+SUM($B$9:F9))),"")</f>
        <v>0.6807748423560541</v>
      </c>
      <c r="G12" s="82">
        <f>IF(G13="Yes",IF(SUM($B$10:G10)/(SUM($B$6:G6)+SUM($B$9:G9))&lt;0,999.99,SUM($B$10:G10)/(SUM($B$6:G6)+SUM($B$9:G9))),"")</f>
        <v>0.8527917666875734</v>
      </c>
      <c r="H12" s="82">
        <f>IF(H13="Yes",IF(SUM($B$10:H10)/(SUM($B$6:H6)+SUM($B$9:H9))&lt;0,999.99,SUM($B$10:H10)/(SUM($B$6:H6)+SUM($B$9:H9))),"")</f>
        <v>0.9719110988113793</v>
      </c>
      <c r="I12" s="82">
        <f>IF(I13="Yes",IF(SUM($B$10:I10)/(SUM($B$6:I6)+SUM($B$9:I9))&lt;0,999.99,SUM($B$10:I10)/(SUM($B$6:I6)+SUM($B$9:I9))),"")</f>
        <v>0.8490340088570222</v>
      </c>
      <c r="J12" s="82">
        <f>IF(J13="Yes",IF(SUM($B$10:J10)/(SUM($B$6:J6)+SUM($B$9:J9))&lt;0,999.99,SUM($B$10:J10)/(SUM($B$6:J6)+SUM($B$9:J9))),"")</f>
        <v>0.7579183178593611</v>
      </c>
      <c r="K12" s="82">
        <f>IF(K13="Yes",IF(SUM($B$10:K10)/(SUM($B$6:K6)+SUM($B$9:K9))&lt;0,999.99,SUM($B$10:K10)/(SUM($B$6:K6)+SUM($B$9:K9))),"")</f>
        <v>0.8042417234862819</v>
      </c>
      <c r="L12" s="82">
        <f>IF(L13="Yes",IF(SUM($B$10:L10)/(SUM($B$6:L6)+SUM($B$9:L9))&lt;0,999.99,SUM($B$10:L10)/(SUM($B$6:L6)+SUM($B$9:L9))),"")</f>
        <v>0.8455870461232308</v>
      </c>
      <c r="M12" s="82">
        <f>IF(M13="Yes",IF(SUM($B$10:M10)/(SUM($B$6:M6)+SUM($B$9:M9))&lt;0,999.99,SUM($B$10:M10)/(SUM($B$6:M6)+SUM($B$9:M9))),"")</f>
        <v>0.8827158121343694</v>
      </c>
      <c r="N12" s="82">
        <f>IF(N13="Yes",IF(SUM($B$10:N10)/(SUM($B$6:N6)+SUM($B$9:N9))&lt;0,999.99,SUM($B$10:N10)/(SUM($B$6:N6)+SUM($B$9:N9))),"")</f>
        <v>0.9162417571845228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23930.35813123663</v>
      </c>
      <c r="I18" s="36">
        <f>U18</f>
        <v>28716.42975748395</v>
      </c>
      <c r="J18" s="36">
        <f>V18</f>
        <v>33502.50138373127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23930.35813123663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28716.42975748395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33502.50138373127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86149.28927245185</v>
      </c>
      <c r="AA18" s="36">
        <f>SUM(B18:M18)</f>
        <v>86149.28927245185</v>
      </c>
      <c r="AB18" s="36">
        <f>SUM(B18:Y18)</f>
        <v>172298.5785449037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sugarcane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26894.73684210526</v>
      </c>
      <c r="C24" s="36">
        <f>IFERROR(Calculations!$P14/12,"")</f>
        <v>26894.73684210526</v>
      </c>
      <c r="D24" s="36">
        <f>IFERROR(Calculations!$P14/12,"")</f>
        <v>26894.73684210526</v>
      </c>
      <c r="E24" s="36">
        <f>IFERROR(Calculations!$P14/12,"")</f>
        <v>26894.73684210526</v>
      </c>
      <c r="F24" s="36">
        <f>IFERROR(Calculations!$P14/12,"")</f>
        <v>26894.73684210526</v>
      </c>
      <c r="G24" s="36">
        <f>IFERROR(Calculations!$P14/12,"")</f>
        <v>26894.73684210526</v>
      </c>
      <c r="H24" s="36">
        <f>IFERROR(Calculations!$P14/12,"")</f>
        <v>26894.73684210526</v>
      </c>
      <c r="I24" s="36">
        <f>IFERROR(Calculations!$P14/12,"")</f>
        <v>26894.73684210526</v>
      </c>
      <c r="J24" s="36">
        <f>IFERROR(Calculations!$P14/12,"")</f>
        <v>26894.73684210526</v>
      </c>
      <c r="K24" s="36">
        <f>IFERROR(Calculations!$P14/12,"")</f>
        <v>26894.73684210526</v>
      </c>
      <c r="L24" s="36">
        <f>IFERROR(Calculations!$P14/12,"")</f>
        <v>26894.73684210526</v>
      </c>
      <c r="M24" s="36">
        <f>IFERROR(Calculations!$P14/12,"")</f>
        <v>26894.73684210526</v>
      </c>
      <c r="N24" s="36">
        <f>IFERROR(Calculations!$P14/12,"")</f>
        <v>26894.73684210526</v>
      </c>
      <c r="O24" s="36">
        <f>IFERROR(Calculations!$P14/12,"")</f>
        <v>26894.73684210526</v>
      </c>
      <c r="P24" s="36">
        <f>IFERROR(Calculations!$P14/12,"")</f>
        <v>26894.73684210526</v>
      </c>
      <c r="Q24" s="36">
        <f>IFERROR(Calculations!$P14/12,"")</f>
        <v>26894.73684210526</v>
      </c>
      <c r="R24" s="36">
        <f>IFERROR(Calculations!$P14/12,"")</f>
        <v>26894.73684210526</v>
      </c>
      <c r="S24" s="36">
        <f>IFERROR(Calculations!$P14/12,"")</f>
        <v>26894.73684210526</v>
      </c>
      <c r="T24" s="36">
        <f>IFERROR(Calculations!$P14/12,"")</f>
        <v>26894.73684210526</v>
      </c>
      <c r="U24" s="36">
        <f>IFERROR(Calculations!$P14/12,"")</f>
        <v>26894.73684210526</v>
      </c>
      <c r="V24" s="36">
        <f>IFERROR(Calculations!$P14/12,"")</f>
        <v>26894.73684210526</v>
      </c>
      <c r="W24" s="36">
        <f>IFERROR(Calculations!$P14/12,"")</f>
        <v>26894.73684210526</v>
      </c>
      <c r="X24" s="36">
        <f>IFERROR(Calculations!$P14/12,"")</f>
        <v>26894.73684210526</v>
      </c>
      <c r="Y24" s="36">
        <f>IFERROR(Calculations!$P14/12,"")</f>
        <v>26894.73684210526</v>
      </c>
      <c r="Z24" s="36">
        <f>SUMIF($B$13:$Y$13,"Yes",B24:Y24)</f>
        <v>349631.5789473684</v>
      </c>
      <c r="AA24" s="36">
        <f>SUM(B24:M24)</f>
        <v>322736.8421052631</v>
      </c>
      <c r="AB24" s="46">
        <f>SUM(B24:Y24)</f>
        <v>645473.6842105265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26894.73684210526</v>
      </c>
      <c r="C30" s="19">
        <f>SUM(C18:C29)</f>
        <v>26894.73684210526</v>
      </c>
      <c r="D30" s="19">
        <f>SUM(D18:D29)</f>
        <v>26894.73684210526</v>
      </c>
      <c r="E30" s="19">
        <f>SUM(E18:E29)</f>
        <v>26894.73684210526</v>
      </c>
      <c r="F30" s="19">
        <f>SUM(F18:F29)</f>
        <v>26894.73684210526</v>
      </c>
      <c r="G30" s="19">
        <f>SUM(G18:G29)</f>
        <v>26894.73684210526</v>
      </c>
      <c r="H30" s="19">
        <f>SUM(H18:H29)</f>
        <v>50825.09497334189</v>
      </c>
      <c r="I30" s="19">
        <f>SUM(I18:I29)</f>
        <v>55611.16659958921</v>
      </c>
      <c r="J30" s="19">
        <f>SUM(J18:J29)</f>
        <v>60397.23822583654</v>
      </c>
      <c r="K30" s="19">
        <f>SUM(K18:K29)</f>
        <v>26894.73684210526</v>
      </c>
      <c r="L30" s="19">
        <f>SUM(L18:L29)</f>
        <v>26894.73684210526</v>
      </c>
      <c r="M30" s="19">
        <f>SUM(M18:M29)</f>
        <v>26894.73684210526</v>
      </c>
      <c r="N30" s="19">
        <f>SUM(N18:N29)</f>
        <v>26894.73684210526</v>
      </c>
      <c r="O30" s="19">
        <f>SUM(O18:O29)</f>
        <v>26894.73684210526</v>
      </c>
      <c r="P30" s="19">
        <f>SUM(P18:P29)</f>
        <v>26894.73684210526</v>
      </c>
      <c r="Q30" s="19">
        <f>SUM(Q18:Q29)</f>
        <v>26894.73684210526</v>
      </c>
      <c r="R30" s="19">
        <f>SUM(R18:R29)</f>
        <v>26894.73684210526</v>
      </c>
      <c r="S30" s="19">
        <f>SUM(S18:S29)</f>
        <v>26894.73684210526</v>
      </c>
      <c r="T30" s="19">
        <f>SUM(T18:T29)</f>
        <v>50825.09497334189</v>
      </c>
      <c r="U30" s="19">
        <f>SUM(U18:U29)</f>
        <v>55611.16659958921</v>
      </c>
      <c r="V30" s="19">
        <f>SUM(V18:V29)</f>
        <v>60397.23822583654</v>
      </c>
      <c r="W30" s="19">
        <f>SUM(W18:W29)</f>
        <v>26894.73684210526</v>
      </c>
      <c r="X30" s="19">
        <f>SUM(X18:X29)</f>
        <v>26894.73684210526</v>
      </c>
      <c r="Y30" s="19">
        <f>SUM(Y18:Y29)</f>
        <v>26894.73684210526</v>
      </c>
      <c r="Z30" s="19">
        <f>SUMIF($B$13:$Y$13,"Yes",B30:Y30)</f>
        <v>435780.8682198203</v>
      </c>
      <c r="AA30" s="19">
        <f>SUM(B30:M30)</f>
        <v>408886.131377715</v>
      </c>
      <c r="AB30" s="19">
        <f>SUM(B30:Y30)</f>
        <v>817772.2627554302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16000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2424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2424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2424</v>
      </c>
      <c r="AA42" s="36">
        <f>SUM(B42:M42)</f>
        <v>2424</v>
      </c>
      <c r="AB42" s="36">
        <f>SUM(B42:Y42)</f>
        <v>4848.000000000001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2424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2424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2424</v>
      </c>
      <c r="AB43" s="36">
        <f>SUM(B43:Y43)</f>
        <v>4848.000000000001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2400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2400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</v>
      </c>
      <c r="AA48" s="46">
        <f>SUM(B48:M48)</f>
        <v>2400</v>
      </c>
      <c r="AB48" s="46">
        <f>SUM(B48:Y48)</f>
        <v>4800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2400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2400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2400</v>
      </c>
      <c r="AB49" s="46">
        <f>SUM(B49:Y49)</f>
        <v>4800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17472.95990534738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17472.95990534738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17472.95990534738</v>
      </c>
      <c r="AA54" s="46">
        <f>SUM(B54:M54)</f>
        <v>17472.95990534738</v>
      </c>
      <c r="AB54" s="46">
        <f>SUM(B54:Y54)</f>
        <v>34945.91981069475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17472.95990534738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17472.95990534738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17472.95990534738</v>
      </c>
      <c r="AA55" s="46">
        <f>SUM(B55:M55)</f>
        <v>17472.95990534738</v>
      </c>
      <c r="AB55" s="46">
        <f>SUM(B55:Y55)</f>
        <v>34945.91981069475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12960</v>
      </c>
      <c r="D66" s="36">
        <f>P66</f>
        <v>12960</v>
      </c>
      <c r="E66" s="36">
        <f>Q66</f>
        <v>12960</v>
      </c>
      <c r="F66" s="36">
        <f>R66</f>
        <v>12960</v>
      </c>
      <c r="G66" s="36">
        <f>S66</f>
        <v>12960</v>
      </c>
      <c r="H66" s="36">
        <f>T66</f>
        <v>12960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12960</v>
      </c>
      <c r="P66" s="46">
        <f>SUM(P67:P71)</f>
        <v>12960</v>
      </c>
      <c r="Q66" s="46">
        <f>SUM(Q67:Q71)</f>
        <v>12960</v>
      </c>
      <c r="R66" s="46">
        <f>SUM(R67:R71)</f>
        <v>12960</v>
      </c>
      <c r="S66" s="46">
        <f>SUM(S67:S71)</f>
        <v>12960</v>
      </c>
      <c r="T66" s="46">
        <f>SUM(T67:T71)</f>
        <v>12960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77760</v>
      </c>
      <c r="AA66" s="46">
        <f>SUM(B66:M66)</f>
        <v>77760</v>
      </c>
      <c r="AB66" s="46">
        <f>SUM(B66:Y66)</f>
        <v>155520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12960</v>
      </c>
      <c r="D67" s="36">
        <f>P67</f>
        <v>12960</v>
      </c>
      <c r="E67" s="36">
        <f>Q67</f>
        <v>12960</v>
      </c>
      <c r="F67" s="36">
        <f>R67</f>
        <v>12960</v>
      </c>
      <c r="G67" s="36">
        <f>S67</f>
        <v>12960</v>
      </c>
      <c r="H67" s="36">
        <f>T67</f>
        <v>12960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12960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12960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12960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12960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12960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12960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77760</v>
      </c>
      <c r="AA67" s="46">
        <f>SUM(B67:M67)</f>
        <v>77760</v>
      </c>
      <c r="AB67" s="46">
        <f>SUM(B67:Y67)</f>
        <v>155520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6810.972382412253</v>
      </c>
      <c r="C81" s="46">
        <f>(SUM($AA$18:$AA$29)-SUM($AA$36,$AA$42,$AA$48,$AA$54,$AA$60,$AA$66,$AA$72:$AA$79))*Parameters!$B$37/12</f>
        <v>6810.972382412253</v>
      </c>
      <c r="D81" s="46">
        <f>(SUM($AA$18:$AA$29)-SUM($AA$36,$AA$42,$AA$48,$AA$54,$AA$60,$AA$66,$AA$72:$AA$79))*Parameters!$B$37/12</f>
        <v>6810.972382412253</v>
      </c>
      <c r="E81" s="46">
        <f>(SUM($AA$18:$AA$29)-SUM($AA$36,$AA$42,$AA$48,$AA$54,$AA$60,$AA$66,$AA$72:$AA$79))*Parameters!$B$37/12</f>
        <v>6810.972382412253</v>
      </c>
      <c r="F81" s="46">
        <f>(SUM($AA$18:$AA$29)-SUM($AA$36,$AA$42,$AA$48,$AA$54,$AA$60,$AA$66,$AA$72:$AA$79))*Parameters!$B$37/12</f>
        <v>6810.972382412253</v>
      </c>
      <c r="G81" s="46">
        <f>(SUM($AA$18:$AA$29)-SUM($AA$36,$AA$42,$AA$48,$AA$54,$AA$60,$AA$66,$AA$72:$AA$79))*Parameters!$B$37/12</f>
        <v>6810.972382412253</v>
      </c>
      <c r="H81" s="46">
        <f>(SUM($AA$18:$AA$29)-SUM($AA$36,$AA$42,$AA$48,$AA$54,$AA$60,$AA$66,$AA$72:$AA$79))*Parameters!$B$37/12</f>
        <v>6810.972382412253</v>
      </c>
      <c r="I81" s="46">
        <f>(SUM($AA$18:$AA$29)-SUM($AA$36,$AA$42,$AA$48,$AA$54,$AA$60,$AA$66,$AA$72:$AA$79))*Parameters!$B$37/12</f>
        <v>6810.972382412253</v>
      </c>
      <c r="J81" s="46">
        <f>(SUM($AA$18:$AA$29)-SUM($AA$36,$AA$42,$AA$48,$AA$54,$AA$60,$AA$66,$AA$72:$AA$79))*Parameters!$B$37/12</f>
        <v>6810.972382412253</v>
      </c>
      <c r="K81" s="46">
        <f>(SUM($AA$18:$AA$29)-SUM($AA$36,$AA$42,$AA$48,$AA$54,$AA$60,$AA$66,$AA$72:$AA$79))*Parameters!$B$37/12</f>
        <v>6810.972382412253</v>
      </c>
      <c r="L81" s="46">
        <f>(SUM($AA$18:$AA$29)-SUM($AA$36,$AA$42,$AA$48,$AA$54,$AA$60,$AA$66,$AA$72:$AA$79))*Parameters!$B$37/12</f>
        <v>6810.972382412253</v>
      </c>
      <c r="M81" s="46">
        <f>(SUM($AA$18:$AA$29)-SUM($AA$36,$AA$42,$AA$48,$AA$54,$AA$60,$AA$66,$AA$72:$AA$79))*Parameters!$B$37/12</f>
        <v>6810.972382412253</v>
      </c>
      <c r="N81" s="46">
        <f>(SUM($AA$18:$AA$29)-SUM($AA$36,$AA$42,$AA$48,$AA$54,$AA$60,$AA$66,$AA$72:$AA$79))*Parameters!$B$37/12</f>
        <v>6810.972382412253</v>
      </c>
      <c r="O81" s="46">
        <f>(SUM($AA$18:$AA$29)-SUM($AA$36,$AA$42,$AA$48,$AA$54,$AA$60,$AA$66,$AA$72:$AA$79))*Parameters!$B$37/12</f>
        <v>6810.972382412253</v>
      </c>
      <c r="P81" s="46">
        <f>(SUM($AA$18:$AA$29)-SUM($AA$36,$AA$42,$AA$48,$AA$54,$AA$60,$AA$66,$AA$72:$AA$79))*Parameters!$B$37/12</f>
        <v>6810.972382412253</v>
      </c>
      <c r="Q81" s="46">
        <f>(SUM($AA$18:$AA$29)-SUM($AA$36,$AA$42,$AA$48,$AA$54,$AA$60,$AA$66,$AA$72:$AA$79))*Parameters!$B$37/12</f>
        <v>6810.972382412253</v>
      </c>
      <c r="R81" s="46">
        <f>(SUM($AA$18:$AA$29)-SUM($AA$36,$AA$42,$AA$48,$AA$54,$AA$60,$AA$66,$AA$72:$AA$79))*Parameters!$B$37/12</f>
        <v>6810.972382412253</v>
      </c>
      <c r="S81" s="46">
        <f>(SUM($AA$18:$AA$29)-SUM($AA$36,$AA$42,$AA$48,$AA$54,$AA$60,$AA$66,$AA$72:$AA$79))*Parameters!$B$37/12</f>
        <v>6810.972382412253</v>
      </c>
      <c r="T81" s="46">
        <f>(SUM($AA$18:$AA$29)-SUM($AA$36,$AA$42,$AA$48,$AA$54,$AA$60,$AA$66,$AA$72:$AA$79))*Parameters!$B$37/12</f>
        <v>6810.972382412253</v>
      </c>
      <c r="U81" s="46">
        <f>(SUM($AA$18:$AA$29)-SUM($AA$36,$AA$42,$AA$48,$AA$54,$AA$60,$AA$66,$AA$72:$AA$79))*Parameters!$B$37/12</f>
        <v>6810.972382412253</v>
      </c>
      <c r="V81" s="46">
        <f>(SUM($AA$18:$AA$29)-SUM($AA$36,$AA$42,$AA$48,$AA$54,$AA$60,$AA$66,$AA$72:$AA$79))*Parameters!$B$37/12</f>
        <v>6810.972382412253</v>
      </c>
      <c r="W81" s="46">
        <f>(SUM($AA$18:$AA$29)-SUM($AA$36,$AA$42,$AA$48,$AA$54,$AA$60,$AA$66,$AA$72:$AA$79))*Parameters!$B$37/12</f>
        <v>6810.972382412253</v>
      </c>
      <c r="X81" s="46">
        <f>(SUM($AA$18:$AA$29)-SUM($AA$36,$AA$42,$AA$48,$AA$54,$AA$60,$AA$66,$AA$72:$AA$79))*Parameters!$B$37/12</f>
        <v>6810.972382412253</v>
      </c>
      <c r="Y81" s="46">
        <f>(SUM($AA$18:$AA$29)-SUM($AA$36,$AA$42,$AA$48,$AA$54,$AA$60,$AA$66,$AA$72:$AA$79))*Parameters!$B$37/12</f>
        <v>6810.972382412253</v>
      </c>
      <c r="Z81" s="46">
        <f>SUMIF($B$13:$Y$13,"Yes",B81:Y81)</f>
        <v>88542.64097135929</v>
      </c>
      <c r="AA81" s="46">
        <f>SUM(B81:M81)</f>
        <v>81731.66858894704</v>
      </c>
      <c r="AB81" s="46">
        <f>SUM(B81:Y81)</f>
        <v>163463.3371778941</v>
      </c>
    </row>
    <row r="82" spans="1:30">
      <c r="A82" s="16" t="s">
        <v>52</v>
      </c>
      <c r="B82" s="46">
        <f>SUM(B83:B87)</f>
        <v>17610.74561403509</v>
      </c>
      <c r="C82" s="46">
        <f>SUM(C83:C87)</f>
        <v>17610.74561403509</v>
      </c>
      <c r="D82" s="46">
        <f>SUM(D83:D87)</f>
        <v>17610.74561403509</v>
      </c>
      <c r="E82" s="46">
        <f>SUM(E83:E87)</f>
        <v>20534.42982456141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73366.66666666667</v>
      </c>
      <c r="AA82" s="46">
        <f>SUM(B82:M82)</f>
        <v>73366.66666666667</v>
      </c>
      <c r="AB82" s="46">
        <f>SUM(B82:Y82)</f>
        <v>73366.66666666667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17610.74561403509</v>
      </c>
      <c r="C84" s="46">
        <f>IF(Calculations!$E24&gt;COUNT(Output!$B$35:C$35),Calculations!$B24,IF(Calculations!$E24=COUNT(Output!$B$35:C$35),Inputs!$B57-Calculations!$C24*(Calculations!$E24-1)+Calculations!$D24,0))</f>
        <v>17610.74561403509</v>
      </c>
      <c r="D84" s="46">
        <f>IF(Calculations!$E24&gt;COUNT(Output!$B$35:D$35),Calculations!$B24,IF(Calculations!$E24=COUNT(Output!$B$35:D$35),Inputs!$B57-Calculations!$C24*(Calculations!$E24-1)+Calculations!$D24,0))</f>
        <v>17610.74561403509</v>
      </c>
      <c r="E84" s="46">
        <f>IF(Calculations!$E24&gt;COUNT(Output!$B$35:E$35),Calculations!$B24,IF(Calculations!$E24=COUNT(Output!$B$35:E$35),Inputs!$B57-Calculations!$C24*(Calculations!$E24-1)+Calculations!$D24,0))</f>
        <v>20534.42982456141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73366.66666666667</v>
      </c>
      <c r="AA84" s="46">
        <f>SUM(B84:M84)</f>
        <v>73366.66666666667</v>
      </c>
      <c r="AB84" s="46">
        <f>SUM(B84:Y84)</f>
        <v>73366.66666666667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31796.71799644734</v>
      </c>
      <c r="C88" s="19">
        <f>SUM(C72:C82,C66,C60,C54,C48,C42,C36)</f>
        <v>63180.71799644734</v>
      </c>
      <c r="D88" s="19">
        <f>SUM(D72:D82,D66,D60,D54,D48,D42,D36)</f>
        <v>44756.71799644734</v>
      </c>
      <c r="E88" s="19">
        <f>SUM(E72:E82,E66,E60,E54,E48,E42,E36)</f>
        <v>47680.40220697366</v>
      </c>
      <c r="F88" s="19">
        <f>SUM(F72:F82,F66,F60,F54,F48,F42,F36)</f>
        <v>29545.97238241225</v>
      </c>
      <c r="G88" s="19">
        <f>SUM(G72:G82,G66,G60,G54,G48,G42,G36)</f>
        <v>27145.97238241225</v>
      </c>
      <c r="H88" s="19">
        <f>SUM(H72:H82,H66,H60,H54,H48,H42,H36)</f>
        <v>44618.93228775963</v>
      </c>
      <c r="I88" s="19">
        <f>SUM(I72:I82,I66,I60,I54,I48,I42,I36)</f>
        <v>14185.97238241225</v>
      </c>
      <c r="J88" s="19">
        <f>SUM(J72:J82,J66,J60,J54,J48,J42,J36)</f>
        <v>14185.97238241225</v>
      </c>
      <c r="K88" s="19">
        <f>SUM(K72:K82,K66,K60,K54,K48,K42,K36)</f>
        <v>14185.97238241225</v>
      </c>
      <c r="L88" s="19">
        <f>SUM(L72:L82,L66,L60,L54,L48,L42,L36)</f>
        <v>14185.97238241225</v>
      </c>
      <c r="M88" s="19">
        <f>SUM(M72:M82,M66,M60,M54,M48,M42,M36)</f>
        <v>14185.97238241225</v>
      </c>
      <c r="N88" s="19">
        <f>SUM(N72:N82,N66,N60,N54,N48,N42,N36)</f>
        <v>14185.97238241225</v>
      </c>
      <c r="O88" s="19">
        <f>SUM(O72:O82,O66,O60,O54,O48,O42,O36)</f>
        <v>45569.97238241225</v>
      </c>
      <c r="P88" s="19">
        <f>SUM(P72:P82,P66,P60,P54,P48,P42,P36)</f>
        <v>27145.97238241225</v>
      </c>
      <c r="Q88" s="19">
        <f>SUM(Q72:Q82,Q66,Q60,Q54,Q48,Q42,Q36)</f>
        <v>27145.97238241225</v>
      </c>
      <c r="R88" s="19">
        <f>SUM(R72:R82,R66,R60,R54,R48,R42,R36)</f>
        <v>29545.97238241225</v>
      </c>
      <c r="S88" s="19">
        <f>SUM(S72:S82,S66,S60,S54,S48,S42,S36)</f>
        <v>27145.97238241225</v>
      </c>
      <c r="T88" s="19">
        <f>SUM(T72:T82,T66,T60,T54,T48,T42,T36)</f>
        <v>44618.93228775963</v>
      </c>
      <c r="U88" s="19">
        <f>SUM(U72:U82,U66,U60,U54,U48,U42,U36)</f>
        <v>14185.97238241225</v>
      </c>
      <c r="V88" s="19">
        <f>SUM(V72:V82,V66,V60,V54,V48,V42,V36)</f>
        <v>14185.97238241225</v>
      </c>
      <c r="W88" s="19">
        <f>SUM(W72:W82,W66,W60,W54,W48,W42,W36)</f>
        <v>14185.97238241225</v>
      </c>
      <c r="X88" s="19">
        <f>SUM(X72:X82,X66,X60,X54,X48,X42,X36)</f>
        <v>14185.97238241225</v>
      </c>
      <c r="Y88" s="19">
        <f>SUM(Y72:Y82,Y66,Y60,Y54,Y48,Y42,Y36)</f>
        <v>14185.97238241225</v>
      </c>
      <c r="Z88" s="19">
        <f>SUMIF($B$13:$Y$13,"Yes",B88:Y88)</f>
        <v>373841.2675433732</v>
      </c>
      <c r="AA88" s="19">
        <f>SUM(B88:M88)</f>
        <v>359655.295160961</v>
      </c>
      <c r="AB88" s="19">
        <f>SUM(B88:Y88)</f>
        <v>645943.9236552555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8400000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11530000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58700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273700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2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40</v>
      </c>
      <c r="N8" s="154">
        <v>0</v>
      </c>
    </row>
    <row r="9" spans="1:48">
      <c r="A9" s="143" t="s">
        <v>95</v>
      </c>
      <c r="B9" s="16"/>
      <c r="C9" s="143">
        <v>1</v>
      </c>
      <c r="D9" s="16"/>
      <c r="E9" s="147" t="s">
        <v>96</v>
      </c>
      <c r="F9" s="149" t="s">
        <v>97</v>
      </c>
      <c r="G9" s="147"/>
      <c r="H9" s="147" t="s">
        <v>93</v>
      </c>
      <c r="I9" s="147" t="s">
        <v>93</v>
      </c>
      <c r="J9" s="148" t="s">
        <v>99</v>
      </c>
      <c r="K9" s="138"/>
      <c r="L9" s="16"/>
      <c r="M9" s="165">
        <v>0</v>
      </c>
      <c r="N9" s="154">
        <v>0</v>
      </c>
    </row>
    <row r="10" spans="1:48">
      <c r="A10" s="143" t="s">
        <v>95</v>
      </c>
      <c r="B10" s="16" t="s">
        <v>100</v>
      </c>
      <c r="C10" s="143">
        <v>8</v>
      </c>
      <c r="D10" s="16">
        <v>4</v>
      </c>
      <c r="E10" s="147" t="s">
        <v>96</v>
      </c>
      <c r="F10" s="149" t="s">
        <v>97</v>
      </c>
      <c r="G10" s="147"/>
      <c r="H10" s="147" t="s">
        <v>92</v>
      </c>
      <c r="I10" s="147" t="s">
        <v>93</v>
      </c>
      <c r="J10" s="148" t="s">
        <v>98</v>
      </c>
      <c r="K10" s="138" t="s">
        <v>101</v>
      </c>
      <c r="L10" s="16">
        <v>120000</v>
      </c>
      <c r="M10" s="165">
        <v>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4</v>
      </c>
      <c r="D19" s="145">
        <v>2</v>
      </c>
      <c r="E19" s="20"/>
      <c r="F19" s="145" t="s">
        <v>92</v>
      </c>
      <c r="G19" s="20"/>
      <c r="H19" s="20"/>
      <c r="I19" s="145" t="s">
        <v>116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10</v>
      </c>
    </row>
    <row r="27" spans="1:48">
      <c r="A27" s="14" t="s">
        <v>119</v>
      </c>
    </row>
    <row r="29" spans="1:48">
      <c r="A29" s="45" t="s">
        <v>120</v>
      </c>
      <c r="B29" s="156">
        <v>0</v>
      </c>
    </row>
    <row r="30" spans="1:48">
      <c r="A30" s="44" t="s">
        <v>121</v>
      </c>
      <c r="B30" s="157">
        <v>0</v>
      </c>
    </row>
    <row r="31" spans="1:48">
      <c r="A31" s="5" t="s">
        <v>122</v>
      </c>
      <c r="B31" s="158">
        <v>2000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1200000</v>
      </c>
    </row>
    <row r="46" spans="1:48" customHeight="1" ht="30">
      <c r="A46" s="57" t="s">
        <v>136</v>
      </c>
      <c r="B46" s="161">
        <v>250000</v>
      </c>
    </row>
    <row r="47" spans="1:48" customHeight="1" ht="30">
      <c r="A47" s="57" t="s">
        <v>137</v>
      </c>
      <c r="B47" s="161">
        <v>600000</v>
      </c>
    </row>
    <row r="48" spans="1:48" customHeight="1" ht="30">
      <c r="A48" s="57" t="s">
        <v>138</v>
      </c>
      <c r="B48" s="161">
        <v>200000</v>
      </c>
    </row>
    <row r="49" spans="1:48" customHeight="1" ht="30">
      <c r="A49" s="57" t="s">
        <v>139</v>
      </c>
      <c r="B49" s="161">
        <v>80000</v>
      </c>
    </row>
    <row r="50" spans="1:48">
      <c r="A50" s="43"/>
      <c r="B50" s="36"/>
    </row>
    <row r="51" spans="1:48">
      <c r="A51" s="58" t="s">
        <v>140</v>
      </c>
      <c r="B51" s="161">
        <v>15000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200000</v>
      </c>
      <c r="B56" s="159">
        <v>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>
        <v>200000</v>
      </c>
      <c r="B57" s="157">
        <v>58700</v>
      </c>
      <c r="C57" s="164" t="s">
        <v>151</v>
      </c>
      <c r="D57" s="165" t="s">
        <v>152</v>
      </c>
      <c r="E57" s="165" t="s">
        <v>92</v>
      </c>
      <c r="F57" s="165" t="s">
        <v>153</v>
      </c>
    </row>
    <row r="58" spans="1:48">
      <c r="A58" s="157">
        <v>15000</v>
      </c>
      <c r="B58" s="157">
        <v>0</v>
      </c>
      <c r="C58" s="164" t="s">
        <v>154</v>
      </c>
      <c r="D58" s="165" t="s">
        <v>155</v>
      </c>
      <c r="E58" s="165" t="s">
        <v>92</v>
      </c>
      <c r="F58" s="165" t="s">
        <v>153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157</v>
      </c>
      <c r="C65" s="10" t="s">
        <v>158</v>
      </c>
    </row>
    <row r="66" spans="1:48">
      <c r="A66" s="142" t="s">
        <v>159</v>
      </c>
      <c r="B66" s="159">
        <v>151500</v>
      </c>
      <c r="C66" s="163">
        <v>154050</v>
      </c>
      <c r="D66" s="49">
        <f>INDEX(Parameters!$D$79:$D$90,MATCH(Inputs!A66,Parameters!$C$79:$C$90,0))</f>
        <v>8</v>
      </c>
    </row>
    <row r="67" spans="1:48">
      <c r="A67" s="143" t="s">
        <v>160</v>
      </c>
      <c r="B67" s="157">
        <v>1215580</v>
      </c>
      <c r="C67" s="165">
        <v>1194460</v>
      </c>
      <c r="D67" s="49">
        <f>INDEX(Parameters!$D$79:$D$90,MATCH(Inputs!A67,Parameters!$C$79:$C$90,0))</f>
        <v>7</v>
      </c>
    </row>
    <row r="68" spans="1:48">
      <c r="A68" s="143" t="s">
        <v>161</v>
      </c>
      <c r="B68" s="157">
        <v>751127</v>
      </c>
      <c r="C68" s="165">
        <v>718145</v>
      </c>
      <c r="D68" s="49">
        <f>INDEX(Parameters!$D$79:$D$90,MATCH(Inputs!A68,Parameters!$C$79:$C$90,0))</f>
        <v>6</v>
      </c>
    </row>
    <row r="69" spans="1:48">
      <c r="A69" s="143" t="s">
        <v>162</v>
      </c>
      <c r="B69" s="157">
        <v>765600</v>
      </c>
      <c r="C69" s="165">
        <v>752413</v>
      </c>
      <c r="D69" s="49">
        <f>INDEX(Parameters!$D$79:$D$90,MATCH(Inputs!A69,Parameters!$C$79:$C$90,0))</f>
        <v>5</v>
      </c>
    </row>
    <row r="70" spans="1:48">
      <c r="A70" s="143" t="s">
        <v>163</v>
      </c>
      <c r="B70" s="157">
        <v>2300300</v>
      </c>
      <c r="C70" s="165">
        <v>183350</v>
      </c>
      <c r="D70" s="49">
        <f>INDEX(Parameters!$D$79:$D$90,MATCH(Inputs!A70,Parameters!$C$79:$C$90,0))</f>
        <v>4</v>
      </c>
    </row>
    <row r="71" spans="1:48">
      <c r="A71" s="144" t="s">
        <v>164</v>
      </c>
      <c r="B71" s="158">
        <v>419265</v>
      </c>
      <c r="C71" s="167">
        <v>395500</v>
      </c>
      <c r="D71" s="49">
        <f>INDEX(Parameters!$D$79:$D$90,MATCH(Inputs!A71,Parameters!$C$79:$C$90,0))</f>
        <v>3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7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200000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12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3798.469544640734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71791.07439370987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8736.479952673688</v>
      </c>
      <c r="AB4" s="33">
        <f>H4*IFERROR(INDEX(Parameters!$A$3:$AI$17,MATCH(Calculations!A4,Parameters!$A$3:$A$17,0),MATCH(Parameters!$O$3,Parameters!$A$3:$AI$3,0)),AVERAGE(Parameters!$O$4:$O$17))*(1-Inputs!$B$25/100)</f>
        <v>43200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0.4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0.4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8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0.5</v>
      </c>
      <c r="M7" s="30">
        <f>L7*H7</f>
        <v>4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120000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480000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16000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322736.8421052631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17610.74561403509</v>
      </c>
      <c r="C24" s="46">
        <f>IF(Inputs!B57&gt;0,(Inputs!A57-Inputs!B57)/(DATE(YEAR(Inputs!$B$76),MONTH(Inputs!$B$76),DAY(Inputs!$B$76))-DATE(YEAR(Inputs!C57),MONTH(Inputs!C57),DAY(Inputs!C57)))*30,0)</f>
        <v>13944.07894736842</v>
      </c>
      <c r="D24" s="46">
        <f>IF(Inputs!B57&gt;0,Inputs!A57*0.22/12,0)</f>
        <v>3666.666666666667</v>
      </c>
      <c r="E24" s="46">
        <f>IFERROR(ROUNDUP(Inputs!B57/B24,0),0)</f>
        <v>4</v>
      </c>
      <c r="H24" s="1"/>
    </row>
    <row r="25" spans="1:52">
      <c r="A25" s="46">
        <f>Inputs!A58</f>
        <v>15000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43000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42979</v>
      </c>
      <c r="F33" t="s">
        <v>170</v>
      </c>
      <c r="G33" s="128">
        <f>IF(Inputs!B79="","",DATE(YEAR(Inputs!B79),MONTH(Inputs!B79),DAY(Inputs!B79)))</f>
        <v>42969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43009</v>
      </c>
      <c r="F34" t="s">
        <v>171</v>
      </c>
      <c r="G34" s="128">
        <f>IF(Inputs!B80="","",DATE(YEAR(Inputs!B80),MONTH(Inputs!B80),DAY(Inputs!B80)))</f>
        <v>43000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43061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43040</v>
      </c>
      <c r="F35" t="s">
        <v>173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43091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43070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43122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43101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43153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43132</v>
      </c>
      <c r="F38" t="s">
        <v>236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43160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43191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43221</v>
      </c>
      <c r="F41" t="s">
        <v>237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43252</v>
      </c>
      <c r="F42" t="s">
        <v>238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211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309</v>
      </c>
      <c r="B26" s="16" t="s">
        <v>306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310</v>
      </c>
      <c r="B27" s="71" t="s">
        <v>306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311</v>
      </c>
      <c r="B28" s="71" t="s">
        <v>306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312</v>
      </c>
      <c r="B29" s="118" t="s">
        <v>306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313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315</v>
      </c>
      <c r="B34" s="11" t="s">
        <v>316</v>
      </c>
    </row>
    <row r="35" spans="1:36">
      <c r="A35" t="s">
        <v>317</v>
      </c>
      <c r="B35" s="72">
        <v>60</v>
      </c>
      <c r="C35" s="86"/>
    </row>
    <row r="36" spans="1:36">
      <c r="A36" t="s">
        <v>318</v>
      </c>
      <c r="B36" s="72">
        <v>2000</v>
      </c>
      <c r="C36" s="86"/>
    </row>
    <row r="37" spans="1:36">
      <c r="A37" t="s">
        <v>319</v>
      </c>
      <c r="B37" s="2">
        <v>0.4</v>
      </c>
    </row>
    <row r="39" spans="1:36">
      <c r="A39" s="3" t="s">
        <v>320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321</v>
      </c>
      <c r="C40" s="193"/>
    </row>
    <row r="41" spans="1:36">
      <c r="A41" s="5" t="s">
        <v>103</v>
      </c>
      <c r="B41" s="191" t="s">
        <v>93</v>
      </c>
      <c r="C41" s="191" t="s">
        <v>92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309</v>
      </c>
      <c r="B45" s="72">
        <v>25000</v>
      </c>
      <c r="C45" s="72">
        <v>50000</v>
      </c>
    </row>
    <row r="46" spans="1:36">
      <c r="A46" t="s">
        <v>310</v>
      </c>
      <c r="B46" s="72">
        <v>6000</v>
      </c>
      <c r="C46" s="72">
        <v>12000</v>
      </c>
    </row>
    <row r="47" spans="1:36">
      <c r="A47" t="s">
        <v>311</v>
      </c>
      <c r="B47" s="72">
        <v>4500</v>
      </c>
      <c r="C47" s="72">
        <v>12000</v>
      </c>
    </row>
    <row r="48" spans="1:36">
      <c r="A48" t="s">
        <v>312</v>
      </c>
      <c r="B48" s="72">
        <v>20000</v>
      </c>
      <c r="C48" s="72">
        <v>20000</v>
      </c>
      <c r="D48" s="72"/>
    </row>
    <row r="50" spans="1:36">
      <c r="A50" s="3" t="s">
        <v>322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323</v>
      </c>
      <c r="H52" s="12" t="s">
        <v>133</v>
      </c>
      <c r="I52" s="12" t="s">
        <v>324</v>
      </c>
      <c r="AJ52" s="12"/>
    </row>
    <row r="53" spans="1:36" customHeight="1" ht="30">
      <c r="A53" s="11" t="s">
        <v>325</v>
      </c>
      <c r="B53" s="11" t="s">
        <v>326</v>
      </c>
      <c r="C53" s="11" t="s">
        <v>327</v>
      </c>
      <c r="D53" s="10" t="s">
        <v>239</v>
      </c>
      <c r="E53" s="10" t="s">
        <v>198</v>
      </c>
      <c r="F53" s="10" t="s">
        <v>258</v>
      </c>
      <c r="G53" s="10" t="s">
        <v>328</v>
      </c>
      <c r="H53" s="10" t="s">
        <v>329</v>
      </c>
      <c r="I53" s="10" t="s">
        <v>329</v>
      </c>
      <c r="AJ53" s="12"/>
    </row>
    <row r="54" spans="1:36">
      <c r="A54">
        <v>8</v>
      </c>
      <c r="B54" s="12" t="s">
        <v>330</v>
      </c>
      <c r="C54" s="12" t="s">
        <v>331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332</v>
      </c>
      <c r="C55" s="12" t="s">
        <v>331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333</v>
      </c>
      <c r="C56" s="116" t="s">
        <v>334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335</v>
      </c>
      <c r="C57" s="116" t="s">
        <v>331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336</v>
      </c>
      <c r="C58" s="116" t="s">
        <v>331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337</v>
      </c>
      <c r="C59" s="116" t="s">
        <v>334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338</v>
      </c>
      <c r="C60" s="116" t="s">
        <v>334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339</v>
      </c>
      <c r="C61" s="116" t="s">
        <v>334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340</v>
      </c>
      <c r="C62" s="116" t="s">
        <v>334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341</v>
      </c>
      <c r="C63" s="116" t="s">
        <v>334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342</v>
      </c>
      <c r="C64" s="116" t="s">
        <v>334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343</v>
      </c>
      <c r="C65" s="12" t="s">
        <v>334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344</v>
      </c>
      <c r="C66" s="12" t="s">
        <v>334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345</v>
      </c>
      <c r="C67" s="12" t="s">
        <v>334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346</v>
      </c>
      <c r="C68" s="12" t="s">
        <v>334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347</v>
      </c>
      <c r="C69" s="12" t="s">
        <v>334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348</v>
      </c>
      <c r="C70" s="12" t="s">
        <v>334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349</v>
      </c>
      <c r="C71" s="12" t="s">
        <v>331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351</v>
      </c>
      <c r="B76" s="11" t="s">
        <v>352</v>
      </c>
      <c r="C76" s="11" t="s">
        <v>176</v>
      </c>
      <c r="D76" s="11" t="s">
        <v>353</v>
      </c>
      <c r="E76" s="11" t="s">
        <v>80</v>
      </c>
      <c r="F76" s="11" t="s">
        <v>354</v>
      </c>
      <c r="G76" s="11" t="s">
        <v>355</v>
      </c>
      <c r="H76" s="11" t="s">
        <v>356</v>
      </c>
      <c r="I76" s="11" t="s">
        <v>235</v>
      </c>
      <c r="J76" s="11" t="s">
        <v>357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358</v>
      </c>
      <c r="E77" s="12" t="s">
        <v>93</v>
      </c>
      <c r="F77" s="12" t="s">
        <v>93</v>
      </c>
      <c r="G77" s="12" t="s">
        <v>359</v>
      </c>
      <c r="H77" s="12" t="s">
        <v>133</v>
      </c>
      <c r="I77" s="12" t="s">
        <v>360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101</v>
      </c>
      <c r="D78" s="133"/>
      <c r="E78" s="12" t="s">
        <v>97</v>
      </c>
      <c r="F78" s="12" t="s">
        <v>361</v>
      </c>
      <c r="G78" s="12" t="s">
        <v>116</v>
      </c>
      <c r="H78" s="12" t="s">
        <v>324</v>
      </c>
      <c r="I78" s="12" t="s">
        <v>362</v>
      </c>
      <c r="J78" s="70" t="s">
        <v>363</v>
      </c>
      <c r="K78" s="12" t="s">
        <v>93</v>
      </c>
      <c r="AJ78" s="12"/>
    </row>
    <row r="79" spans="1:36">
      <c r="B79" s="176">
        <v>10</v>
      </c>
      <c r="C79" s="12" t="s">
        <v>364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176</v>
      </c>
      <c r="J79" s="70" t="s">
        <v>368</v>
      </c>
      <c r="K79" s="12" t="s">
        <v>93</v>
      </c>
      <c r="AJ79" s="12"/>
    </row>
    <row r="80" spans="1:36">
      <c r="B80" s="176">
        <v>20</v>
      </c>
      <c r="C80" s="12" t="s">
        <v>369</v>
      </c>
      <c r="D80" s="12">
        <f>D79+1</f>
        <v>2</v>
      </c>
      <c r="E80" s="12" t="s">
        <v>91</v>
      </c>
      <c r="F80" s="12" t="s">
        <v>370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164</v>
      </c>
      <c r="D81" s="12">
        <f>D80+1</f>
        <v>3</v>
      </c>
      <c r="J81" s="70" t="s">
        <v>371</v>
      </c>
      <c r="K81" s="12" t="s">
        <v>92</v>
      </c>
    </row>
    <row r="82" spans="1:36">
      <c r="B82" s="176">
        <v>40</v>
      </c>
      <c r="C82" s="12" t="s">
        <v>163</v>
      </c>
      <c r="D82" s="12">
        <f>D81+1</f>
        <v>4</v>
      </c>
      <c r="J82" s="70"/>
    </row>
    <row r="83" spans="1:36">
      <c r="B83" s="176">
        <v>50</v>
      </c>
      <c r="C83" s="12" t="s">
        <v>162</v>
      </c>
      <c r="D83" s="12">
        <f>D82+1</f>
        <v>5</v>
      </c>
    </row>
    <row r="84" spans="1:36">
      <c r="B84" s="176">
        <v>60</v>
      </c>
      <c r="C84" s="12" t="s">
        <v>161</v>
      </c>
      <c r="D84" s="12">
        <f>D83+1</f>
        <v>6</v>
      </c>
    </row>
    <row r="85" spans="1:36">
      <c r="B85" s="176">
        <v>70</v>
      </c>
      <c r="C85" s="12" t="s">
        <v>160</v>
      </c>
      <c r="D85" s="12">
        <f>D84+1</f>
        <v>7</v>
      </c>
    </row>
    <row r="86" spans="1:36">
      <c r="B86" s="176">
        <v>80</v>
      </c>
      <c r="C86" s="12" t="s">
        <v>159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372</v>
      </c>
      <c r="D88" s="12">
        <f>D87+1</f>
        <v>10</v>
      </c>
    </row>
    <row r="89" spans="1:36">
      <c r="C89" s="12" t="s">
        <v>373</v>
      </c>
      <c r="D89" s="12">
        <f>D88+1</f>
        <v>11</v>
      </c>
    </row>
    <row r="90" spans="1:36">
      <c r="C90" s="12" t="s">
        <v>374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