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<sst xmlns="http://schemas.openxmlformats.org/spreadsheetml/2006/main" uniqueCount="374">
  <si>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</si>
  <si>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</si>
  <si>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</si>
  <si>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</si>
  <si>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</si>
  <si>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</si>
  <si>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</si>
  <si>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</si>
  <si>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</si>
  <si>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</si>
  <si>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</si>
  <si>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</si>
  <si>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</si>
  <si>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</si>
  <si>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</si>
  <si>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</si>
  <si>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</si>
  <si>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</si>
  <si>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</si>
  <si>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</si>
  <si>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</si>
  <si>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</si>
  <si>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</si>
  <si>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</si>
  <si>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</si>
  <si>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</si>
  <si>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</si>
  <si>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</si>
  <si>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</si>
  <si>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</si>
  <si>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</si>
  <si>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</si>
  <si>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</si>
  <si>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</si>
  <si>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</si>
  <si>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</si>
  <si>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</si>
  <si>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</si>
  <si>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</si>
  <si>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</si>
  <si>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</si>
  <si>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</si>
  <si>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</si>
  <si>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</si>
  <si>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</si>
  <si>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</si>
  <si>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</si>
  <si>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</si>
  <si>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</si>
  <si>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</si>
  <si>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</si>
  <si>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</si>
  <si>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</si>
  <si>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</si>
  <si>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</si>
  <si>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</si>
  <si>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</si>
  <si>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</si>
  <si>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</si>
  <si>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</si>
  <si>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</si>
  <si>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</si>
  <si>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</si>
  <si>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</si>
  <si>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</si>
  <si>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</si>
  <si>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</si>
  <si>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</si>
  <si>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</si>
  <si>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</si>
  <si>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</si>
  <si>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</si>
  <si>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</si>
  <si>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</si>
  <si>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</si>
  <si>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</si>
  <si>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</si>
  <si>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</si>
  <si>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</si>
  <si>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</si>
  <si>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</si>
  <si>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</si>
  <si>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</si>
  <si>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</si>
  <si>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</si>
  <si>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</si>
  <si>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</si>
  <si>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</si>
  <si>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</si>
  <si>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</si>
  <si>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</si>
  <si>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</si>
  <si>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</si>
  <si>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without the use of a pump</t>
  </si>
  <si>
    <t>March</t>
  </si>
  <si>
    <t>Beans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</si>
  <si>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</si>
  <si>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</si>
  <si>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</si>
  <si>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</si>
  <si>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</si>
  <si>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</si>
  <si>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</si>
  <si>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</si>
  <si>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</si>
  <si>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</si>
  <si>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</si>
  <si>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</si>
  <si>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</si>
  <si>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</si>
  <si>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</si>
  <si>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</si>
  <si>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</si>
  <si>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</si>
  <si>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Sales &amp;amp; Marketing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</si>
  <si>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</si>
  <si>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</si>
  <si>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</si>
  <si>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</si>
  <si>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</si>
  <si>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</si>
  <si>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</si>
  <si>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</si>
  <si>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</si>
  <si>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</si>
  <si>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</si>
  <si>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</si>
  <si>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</si>
  <si>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</si>
  <si>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</si>
  <si>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</si>
  <si>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</si>
  <si>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</si>
  <si>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</si>
  <si>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</si>
  <si>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</si>
  <si>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</si>
  <si>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</si>
  <si>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</si>
  <si>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</si>
  <si>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</si>
  <si>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</si>
  <si>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6/17/17</t>
  </si>
  <si>
    <t>M/Banking</t>
  </si>
  <si>
    <t>Well Serviced</t>
  </si>
  <si>
    <t>7/16/15</t>
  </si>
  <si>
    <t>NIC</t>
  </si>
  <si>
    <t>Check off</t>
  </si>
  <si>
    <t>5/23/17</t>
  </si>
  <si>
    <t>Sacco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</si>
  <si>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</si>
  <si>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</si>
  <si>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</si>
  <si>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</si>
  <si>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</si>
  <si>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</si>
  <si>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</si>
  <si>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</si>
  <si>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Loan info</t>
  </si>
  <si>
    <t>Branch ID</t>
  </si>
  <si>
    <t>Submission date</t>
  </si>
  <si>
    <t>2017/8/23</t>
  </si>
  <si>
    <t>Loan terms</t>
  </si>
  <si>
    <t>Expected disbursement date</t>
  </si>
  <si>
    <t>2017/8/25</t>
  </si>
  <si>
    <t>Expected first repayment date</t>
  </si>
  <si>
    <t>2017/10/3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</si>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</sst>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Sales &amp;amp; Marketing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0.008135990520305936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-135603.7899721039</v>
      </c>
    </row>
    <row r="18" spans="1:7">
      <c r="B18" s="1" t="s">
        <v>12</v>
      </c>
      <c r="C18" s="36">
        <f>MIN(Output!B6:M6)</f>
        <v>-52352.24482110652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22991.43562824305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299000</v>
      </c>
    </row>
    <row r="25" spans="1:7">
      <c r="B25" s="1" t="s">
        <v>18</v>
      </c>
      <c r="C25" s="36">
        <f>MAX(Inputs!A56:A60)</f>
        <v>672000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1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22991.43562824305</v>
      </c>
      <c r="C6" s="51">
        <f>C30-C88</f>
        <v>-52352.24482110652</v>
      </c>
      <c r="D6" s="51">
        <f>D30-D88</f>
        <v>-31140.24482110652</v>
      </c>
      <c r="E6" s="51">
        <f>E30-E88</f>
        <v>-5547.854042986393</v>
      </c>
      <c r="F6" s="51">
        <f>F30-F88</f>
        <v>13865.76416055647</v>
      </c>
      <c r="G6" s="51">
        <f>G30-G88</f>
        <v>-15618.75108965205</v>
      </c>
      <c r="H6" s="51">
        <f>H30-H88</f>
        <v>22991.43562824305</v>
      </c>
      <c r="I6" s="51">
        <f>I30-I88</f>
        <v>-52352.24482110652</v>
      </c>
      <c r="J6" s="51">
        <f>J30-J88</f>
        <v>-31140.24482110652</v>
      </c>
      <c r="K6" s="51">
        <f>K30-K88</f>
        <v>-5547.854042986393</v>
      </c>
      <c r="L6" s="51">
        <f>L30-L88</f>
        <v>13865.76416055647</v>
      </c>
      <c r="M6" s="51">
        <f>M30-M88</f>
        <v>-15618.75108965205</v>
      </c>
      <c r="N6" s="51">
        <f>N30-N88</f>
        <v>22991.43562824305</v>
      </c>
      <c r="O6" s="51">
        <f>O30-O88</f>
        <v>-52352.24482110652</v>
      </c>
      <c r="P6" s="51">
        <f>P30-P88</f>
        <v>-188694.0269993244</v>
      </c>
      <c r="Q6" s="51">
        <f>Q30-Q88</f>
        <v>24844.02714513242</v>
      </c>
      <c r="R6" s="51">
        <f>R30-R88</f>
        <v>44257.64534867529</v>
      </c>
      <c r="S6" s="51">
        <f>S30-S88</f>
        <v>14773.13009846676</v>
      </c>
      <c r="T6" s="51">
        <f>T30-T88</f>
        <v>53383.31681636187</v>
      </c>
      <c r="U6" s="51">
        <f>U30-U88</f>
        <v>-21960.3636329877</v>
      </c>
      <c r="V6" s="51">
        <f>V30-V88</f>
        <v>-748.3636329877045</v>
      </c>
      <c r="W6" s="51">
        <f>W30-W88</f>
        <v>24844.02714513242</v>
      </c>
      <c r="X6" s="51">
        <f>X30-X88</f>
        <v>44257.64534867529</v>
      </c>
      <c r="Y6" s="51">
        <f>Y30-Y88</f>
        <v>14773.13009846676</v>
      </c>
      <c r="Z6" s="51">
        <f>SUMIF($B$13:$Y$13,"Yes",B6:Y6)</f>
        <v>-164964.5991649674</v>
      </c>
      <c r="AA6" s="51">
        <f>AA30-AA88</f>
        <v>-135603.789972104</v>
      </c>
      <c r="AB6" s="51">
        <f>AB30-AB88</f>
        <v>-155234.4314293563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26422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103547</v>
      </c>
      <c r="J7" s="80">
        <f>IF(ISERROR(VLOOKUP(MONTH(J5),Inputs!$D$66:$D$71,1,0)),"",INDEX(Inputs!$B$66:$B$71,MATCH(MONTH(Output!J5),Inputs!$D$66:$D$71,0))-INDEX(Inputs!$C$66:$C$71,MATCH(MONTH(Output!J5),Inputs!$D$66:$D$71,0)))</f>
        <v>29475</v>
      </c>
      <c r="K7" s="80">
        <f>IF(ISERROR(VLOOKUP(MONTH(K5),Inputs!$D$66:$D$71,1,0)),"",INDEX(Inputs!$B$66:$B$71,MATCH(MONTH(Output!K5),Inputs!$D$66:$D$71,0))-INDEX(Inputs!$C$66:$C$71,MATCH(MONTH(Output!K5),Inputs!$D$66:$D$71,0)))</f>
        <v>41597</v>
      </c>
      <c r="L7" s="80">
        <f>IF(ISERROR(VLOOKUP(MONTH(L5),Inputs!$D$66:$D$71,1,0)),"",INDEX(Inputs!$B$66:$B$71,MATCH(MONTH(Output!L5),Inputs!$D$66:$D$71,0))-INDEX(Inputs!$C$66:$C$71,MATCH(MONTH(Output!L5),Inputs!$D$66:$D$71,0)))</f>
        <v>40561</v>
      </c>
      <c r="M7" s="80">
        <f>IF(ISERROR(VLOOKUP(MONTH(M5),Inputs!$D$66:$D$71,1,0)),"",INDEX(Inputs!$B$66:$B$71,MATCH(MONTH(Output!M5),Inputs!$D$66:$D$71,0))-INDEX(Inputs!$C$66:$C$71,MATCH(MONTH(Output!M5),Inputs!$D$66:$D$71,0)))</f>
        <v>31720</v>
      </c>
      <c r="N7" s="80">
        <f>IF(ISERROR(VLOOKUP(MONTH(N5),Inputs!$D$66:$D$71,1,0)),"",INDEX(Inputs!$B$66:$B$71,MATCH(MONTH(Output!N5),Inputs!$D$66:$D$71,0))-INDEX(Inputs!$C$66:$C$71,MATCH(MONTH(Output!N5),Inputs!$D$66:$D$71,0)))</f>
        <v>26422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103547</v>
      </c>
      <c r="V7" s="80">
        <f>IF(ISERROR(VLOOKUP(MONTH(V5),Inputs!$D$66:$D$71,1,0)),"",INDEX(Inputs!$B$66:$B$71,MATCH(MONTH(Output!V5),Inputs!$D$66:$D$71,0))-INDEX(Inputs!$C$66:$C$71,MATCH(MONTH(Output!V5),Inputs!$D$66:$D$71,0)))</f>
        <v>29475</v>
      </c>
      <c r="W7" s="80">
        <f>IF(ISERROR(VLOOKUP(MONTH(W5),Inputs!$D$66:$D$71,1,0)),"",INDEX(Inputs!$B$66:$B$71,MATCH(MONTH(Output!W5),Inputs!$D$66:$D$71,0))-INDEX(Inputs!$C$66:$C$71,MATCH(MONTH(Output!W5),Inputs!$D$66:$D$71,0)))</f>
        <v>41597</v>
      </c>
      <c r="X7" s="80">
        <f>IF(ISERROR(VLOOKUP(MONTH(X5),Inputs!$D$66:$D$71,1,0)),"",INDEX(Inputs!$B$66:$B$71,MATCH(MONTH(Output!X5),Inputs!$D$66:$D$71,0))-INDEX(Inputs!$C$66:$C$71,MATCH(MONTH(Output!X5),Inputs!$D$66:$D$71,0)))</f>
        <v>40561</v>
      </c>
      <c r="Y7" s="80">
        <f>IF(ISERROR(VLOOKUP(MONTH(Y5),Inputs!$D$66:$D$71,1,0)),"",INDEX(Inputs!$B$66:$B$71,MATCH(MONTH(Output!Y5),Inputs!$D$66:$D$71,0))-INDEX(Inputs!$C$66:$C$71,MATCH(MONTH(Output!Y5),Inputs!$D$66:$D$71,0)))</f>
        <v>31720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15000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150000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172991.4356282431</v>
      </c>
      <c r="C11" s="80">
        <f>C6+C9-C10</f>
        <v>-52352.24482110652</v>
      </c>
      <c r="D11" s="80">
        <f>D6+D9-D10</f>
        <v>-46140.24482110652</v>
      </c>
      <c r="E11" s="80">
        <f>E6+E9-E10</f>
        <v>-20547.85404298639</v>
      </c>
      <c r="F11" s="80">
        <f>F6+F9-F10</f>
        <v>-1134.235839443529</v>
      </c>
      <c r="G11" s="80">
        <f>G6+G9-G10</f>
        <v>-30618.75108965205</v>
      </c>
      <c r="H11" s="80">
        <f>H6+H9-H10</f>
        <v>7991.435628243053</v>
      </c>
      <c r="I11" s="80">
        <f>I6+I9-I10</f>
        <v>-67352.24482110652</v>
      </c>
      <c r="J11" s="80">
        <f>J6+J9-J10</f>
        <v>-46140.24482110652</v>
      </c>
      <c r="K11" s="80">
        <f>K6+K9-K10</f>
        <v>-20547.85404298639</v>
      </c>
      <c r="L11" s="80">
        <f>L6+L9-L10</f>
        <v>-1134.235839443529</v>
      </c>
      <c r="M11" s="80">
        <f>M6+M9-M10</f>
        <v>-30618.75108965205</v>
      </c>
      <c r="N11" s="80">
        <f>N6+N9-N10</f>
        <v>7991.435628243053</v>
      </c>
      <c r="O11" s="80">
        <f>O6+O9-O10</f>
        <v>-67352.24482110652</v>
      </c>
      <c r="P11" s="80">
        <f>P6+P9-P10</f>
        <v>-188694.0269993244</v>
      </c>
      <c r="Q11" s="80">
        <f>Q6+Q9-Q10</f>
        <v>24844.02714513242</v>
      </c>
      <c r="R11" s="80">
        <f>R6+R9-R10</f>
        <v>44257.64534867529</v>
      </c>
      <c r="S11" s="80">
        <f>S6+S9-S10</f>
        <v>14773.13009846676</v>
      </c>
      <c r="T11" s="80">
        <f>T6+T9-T10</f>
        <v>53383.31681636187</v>
      </c>
      <c r="U11" s="80">
        <f>U6+U9-U10</f>
        <v>-21960.3636329877</v>
      </c>
      <c r="V11" s="80">
        <f>V6+V9-V10</f>
        <v>-748.3636329877045</v>
      </c>
      <c r="W11" s="80">
        <f>W6+W9-W10</f>
        <v>24844.02714513242</v>
      </c>
      <c r="X11" s="80">
        <f>X6+X9-X10</f>
        <v>44257.64534867529</v>
      </c>
      <c r="Y11" s="80">
        <f>Y6+Y9-Y10</f>
        <v>14773.13009846676</v>
      </c>
      <c r="Z11" s="85">
        <f>SUMIF($B$13:$Y$13,"Yes",B11:Y11)</f>
        <v>-194964.5991649674</v>
      </c>
      <c r="AA11" s="80">
        <f>SUM(B11:M11)</f>
        <v>-135603.7899721039</v>
      </c>
      <c r="AB11" s="46">
        <f>SUM(B11:Y11)</f>
        <v>-185234.4314293564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0.1675997391337029</v>
      </c>
      <c r="E12" s="82">
        <f>IF(E13="Yes",IF(SUM($B$10:E10)/(SUM($B$6:E6)+SUM($B$9:E9))&lt;0,999.99,SUM($B$10:E10)/(SUM($B$6:E6)+SUM($B$9:E9))),"")</f>
        <v>0.3573509207045623</v>
      </c>
      <c r="F12" s="82">
        <f>IF(F13="Yes",IF(SUM($B$10:F10)/(SUM($B$6:F6)+SUM($B$9:F9))&lt;0,999.99,SUM($B$10:F10)/(SUM($B$6:F6)+SUM($B$9:F9))),"")</f>
        <v>0.4600434096178624</v>
      </c>
      <c r="G12" s="82">
        <f>IF(G13="Yes",IF(SUM($B$10:G10)/(SUM($B$6:G6)+SUM($B$9:G9))&lt;0,999.99,SUM($B$10:G10)/(SUM($B$6:G6)+SUM($B$9:G9))),"")</f>
        <v>0.7299438349560335</v>
      </c>
      <c r="H12" s="82">
        <f>IF(H13="Yes",IF(SUM($B$10:H10)/(SUM($B$6:H6)+SUM($B$9:H9))&lt;0,999.99,SUM($B$10:H10)/(SUM($B$6:H6)+SUM($B$9:H9))),"")</f>
        <v>0.7129986455128392</v>
      </c>
      <c r="I12" s="82">
        <f>IF(I13="Yes",IF(SUM($B$10:I10)/(SUM($B$6:I6)+SUM($B$9:I9))&lt;0,999.99,SUM($B$10:I10)/(SUM($B$6:I6)+SUM($B$9:I9))),"")</f>
        <v>1.703342281269545</v>
      </c>
      <c r="J12" s="82">
        <f>IF(J13="Yes",IF(SUM($B$10:J10)/(SUM($B$6:J6)+SUM($B$9:J9))&lt;0,999.99,SUM($B$10:J10)/(SUM($B$6:J6)+SUM($B$9:J9))),"")</f>
        <v>4.83936734075549</v>
      </c>
      <c r="K12" s="82">
        <f>IF(K13="Yes",IF(SUM($B$10:K10)/(SUM($B$6:K6)+SUM($B$9:K9))&lt;0,999.99,SUM($B$10:K10)/(SUM($B$6:K6)+SUM($B$9:K9))),"")</f>
        <v>7.430710042089557</v>
      </c>
      <c r="L12" s="82">
        <f>IF(L13="Yes",IF(SUM($B$10:L10)/(SUM($B$6:L6)+SUM($B$9:L9))&lt;0,999.99,SUM($B$10:L10)/(SUM($B$6:L6)+SUM($B$9:L9))),"")</f>
        <v>4.497756950985114</v>
      </c>
      <c r="M12" s="82">
        <f>IF(M13="Yes",IF(SUM($B$10:M10)/(SUM($B$6:M6)+SUM($B$9:M9))&lt;0,999.99,SUM($B$10:M10)/(SUM($B$6:M6)+SUM($B$9:M9))),"")</f>
        <v>10.41940897703905</v>
      </c>
      <c r="N12" s="82">
        <f>IF(N13="Yes",IF(SUM($B$10:N10)/(SUM($B$6:N6)+SUM($B$9:N9))&lt;0,999.99,SUM($B$10:N10)/(SUM($B$6:N6)+SUM($B$9:N9))),"")</f>
        <v>4.413222525898918</v>
      </c>
      <c r="O12" s="82">
        <f>IF(O13="Yes",IF(SUM($B$10:O10)/(SUM($B$6:O6)+SUM($B$9:O9))&lt;0,999.99,SUM($B$10:O10)/(SUM($B$6:O6)+SUM($B$9:O9))),"")</f>
        <v>999.99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45467.68044934958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37889.73370779132</v>
      </c>
      <c r="H18" s="36">
        <f>T18</f>
        <v>45467.68044934958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37889.73370779132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45467.68044934958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37889.73370779132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45467.68044934958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37889.73370779132</v>
      </c>
      <c r="Z18" s="36">
        <f>SUMIF($B$13:$Y$13,"Yes",B18:Y18)</f>
        <v>212182.5087636314</v>
      </c>
      <c r="AA18" s="36">
        <f>SUM(B18:M18)</f>
        <v>166714.8283142818</v>
      </c>
      <c r="AB18" s="36">
        <f>SUM(B18:Y18)</f>
        <v>333429.6566285636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27787.2808924209</v>
      </c>
      <c r="F19" s="36">
        <f>R19</f>
        <v>30566.008981663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27787.2808924209</v>
      </c>
      <c r="L19" s="36">
        <f>X19</f>
        <v>30566.008981663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27787.2808924209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30566.008981663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27787.2808924209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30566.008981663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116706.5797481678</v>
      </c>
      <c r="AA19" s="36">
        <f>SUM(B19:M19)</f>
        <v>116706.5797481678</v>
      </c>
      <c r="AB19" s="36">
        <f>SUM(B19:Y19)</f>
        <v>233413.1594963356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630000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90467.68044934957</v>
      </c>
      <c r="C30" s="19">
        <f>SUM(C18:C29)</f>
        <v>45000</v>
      </c>
      <c r="D30" s="19">
        <f>SUM(D18:D29)</f>
        <v>45000</v>
      </c>
      <c r="E30" s="19">
        <f>SUM(E18:E29)</f>
        <v>72787.28089242091</v>
      </c>
      <c r="F30" s="19">
        <f>SUM(F18:F29)</f>
        <v>75566.00898166299</v>
      </c>
      <c r="G30" s="19">
        <f>SUM(G18:G29)</f>
        <v>82889.73370779131</v>
      </c>
      <c r="H30" s="19">
        <f>SUM(H18:H29)</f>
        <v>90467.68044934957</v>
      </c>
      <c r="I30" s="19">
        <f>SUM(I18:I29)</f>
        <v>45000</v>
      </c>
      <c r="J30" s="19">
        <f>SUM(J18:J29)</f>
        <v>45000</v>
      </c>
      <c r="K30" s="19">
        <f>SUM(K18:K29)</f>
        <v>72787.28089242091</v>
      </c>
      <c r="L30" s="19">
        <f>SUM(L18:L29)</f>
        <v>75566.00898166299</v>
      </c>
      <c r="M30" s="19">
        <f>SUM(M18:M29)</f>
        <v>82889.73370779131</v>
      </c>
      <c r="N30" s="19">
        <f>SUM(N18:N29)</f>
        <v>90467.68044934957</v>
      </c>
      <c r="O30" s="19">
        <f>SUM(O18:O29)</f>
        <v>45000</v>
      </c>
      <c r="P30" s="19">
        <f>SUM(P18:P29)</f>
        <v>45000</v>
      </c>
      <c r="Q30" s="19">
        <f>SUM(Q18:Q29)</f>
        <v>72787.28089242091</v>
      </c>
      <c r="R30" s="19">
        <f>SUM(R18:R29)</f>
        <v>75566.00898166299</v>
      </c>
      <c r="S30" s="19">
        <f>SUM(S18:S29)</f>
        <v>82889.73370779131</v>
      </c>
      <c r="T30" s="19">
        <f>SUM(T18:T29)</f>
        <v>90467.68044934957</v>
      </c>
      <c r="U30" s="19">
        <f>SUM(U18:U29)</f>
        <v>45000</v>
      </c>
      <c r="V30" s="19">
        <f>SUM(V18:V29)</f>
        <v>45000</v>
      </c>
      <c r="W30" s="19">
        <f>SUM(W18:W29)</f>
        <v>72787.28089242091</v>
      </c>
      <c r="X30" s="19">
        <f>SUM(X18:X29)</f>
        <v>75566.00898166299</v>
      </c>
      <c r="Y30" s="19">
        <f>SUM(Y18:Y29)</f>
        <v>82889.73370779131</v>
      </c>
      <c r="Z30" s="19">
        <f>SUMIF($B$13:$Y$13,"Yes",B30:Y30)</f>
        <v>958889.0885117992</v>
      </c>
      <c r="AA30" s="19">
        <f>SUM(B30:M30)</f>
        <v>823421.4080624497</v>
      </c>
      <c r="AB30" s="19">
        <f>SUM(B30:Y30)</f>
        <v>1646842.816124899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8000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8000</v>
      </c>
      <c r="H36" s="36">
        <f>T36</f>
        <v>0</v>
      </c>
      <c r="I36" s="36">
        <f>U36</f>
        <v>8000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8000</v>
      </c>
      <c r="N36" s="36">
        <f>SUM(N37:N41)</f>
        <v>0</v>
      </c>
      <c r="O36" s="36">
        <f>SUM(O37:O41)</f>
        <v>8000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8000</v>
      </c>
      <c r="T36" s="36">
        <f>SUM(T37:T41)</f>
        <v>0</v>
      </c>
      <c r="U36" s="36">
        <f>SUM(U37:U41)</f>
        <v>8000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8000</v>
      </c>
      <c r="Z36" s="36">
        <f>SUMIF($B$13:$Y$13,"Yes",B36:Y36)</f>
        <v>40000</v>
      </c>
      <c r="AA36" s="36">
        <f>SUM(B36:M36)</f>
        <v>32000</v>
      </c>
      <c r="AB36" s="36">
        <f>SUM(B36:Y36)</f>
        <v>64000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8000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8000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8000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8000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24000</v>
      </c>
      <c r="AA37" s="36">
        <f>SUM(B37:M37)</f>
        <v>16000</v>
      </c>
      <c r="AB37" s="36">
        <f>SUM(B37:Y37)</f>
        <v>32000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8000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8000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8000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8000</v>
      </c>
      <c r="Z38" s="36">
        <f>SUMIF($B$13:$Y$13,"Yes",B38:Y38)</f>
        <v>16000</v>
      </c>
      <c r="AA38" s="36">
        <f>SUM(B38:M38)</f>
        <v>16000</v>
      </c>
      <c r="AB38" s="36">
        <f>SUM(B38:Y38)</f>
        <v>32000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1212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10000</v>
      </c>
      <c r="H42" s="36">
        <f>T42</f>
        <v>0</v>
      </c>
      <c r="I42" s="36">
        <f>U42</f>
        <v>1212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10000</v>
      </c>
      <c r="N42" s="36">
        <f>SUM(N43:N47)</f>
        <v>0</v>
      </c>
      <c r="O42" s="36">
        <f>SUM(O43:O47)</f>
        <v>1212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10000</v>
      </c>
      <c r="T42" s="36">
        <f>SUM(T43:T47)</f>
        <v>0</v>
      </c>
      <c r="U42" s="36">
        <f>SUM(U43:U47)</f>
        <v>1212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10000</v>
      </c>
      <c r="Z42" s="36">
        <f>SUMIF($B$13:$Y$13,"Yes",B42:Y42)</f>
        <v>23636</v>
      </c>
      <c r="AA42" s="36">
        <f>SUM(B42:M42)</f>
        <v>22424</v>
      </c>
      <c r="AB42" s="36">
        <f>SUM(B42:Y42)</f>
        <v>44848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1212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1212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1212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1212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3636.000000000001</v>
      </c>
      <c r="AA43" s="36">
        <f>SUM(B43:M43)</f>
        <v>2424</v>
      </c>
      <c r="AB43" s="36">
        <f>SUM(B43:Y43)</f>
        <v>4848.000000000001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10000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10000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10000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10000</v>
      </c>
      <c r="Z44" s="36">
        <f>SUMIF($B$13:$Y$13,"Yes",B44:Y44)</f>
        <v>20000</v>
      </c>
      <c r="AA44" s="36">
        <f>SUM(B44:M44)</f>
        <v>20000</v>
      </c>
      <c r="AB44" s="36">
        <f>SUM(B44:Y44)</f>
        <v>40000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12000</v>
      </c>
      <c r="D48" s="36">
        <f>P48</f>
        <v>0</v>
      </c>
      <c r="E48" s="36">
        <f>Q48</f>
        <v>1200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12000</v>
      </c>
      <c r="J48" s="36">
        <f>V48</f>
        <v>0</v>
      </c>
      <c r="K48" s="36">
        <f>W48</f>
        <v>1200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12000</v>
      </c>
      <c r="P48" s="46">
        <f>SUM(P49:P53)</f>
        <v>0</v>
      </c>
      <c r="Q48" s="46">
        <f>SUM(Q49:Q53)</f>
        <v>1200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12000</v>
      </c>
      <c r="V48" s="46">
        <f>SUM(V49:V53)</f>
        <v>0</v>
      </c>
      <c r="W48" s="46">
        <f>SUM(W49:W53)</f>
        <v>1200</v>
      </c>
      <c r="X48" s="46">
        <f>SUM(X49:X53)</f>
        <v>0</v>
      </c>
      <c r="Y48" s="46">
        <f>SUM(Y49:Y53)</f>
        <v>0</v>
      </c>
      <c r="Z48" s="46">
        <f>SUMIF($B$13:$Y$13,"Yes",B48:Y48)</f>
        <v>38400</v>
      </c>
      <c r="AA48" s="46">
        <f>SUM(B48:M48)</f>
        <v>26400</v>
      </c>
      <c r="AB48" s="46">
        <f>SUM(B48:Y48)</f>
        <v>52800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1200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1200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1200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1200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2400</v>
      </c>
      <c r="AA49" s="46">
        <f>SUM(B49:M49)</f>
        <v>2400</v>
      </c>
      <c r="AB49" s="46">
        <f>SUM(B49:Y49)</f>
        <v>4800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12000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12000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12000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12000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36000</v>
      </c>
      <c r="AA50" s="46">
        <f>SUM(B50:M50)</f>
        <v>24000</v>
      </c>
      <c r="AB50" s="46">
        <f>SUM(B50:Y50)</f>
        <v>48000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994.8901143007844</v>
      </c>
      <c r="F54" s="36">
        <f>R54</f>
        <v>0</v>
      </c>
      <c r="G54" s="36">
        <f>S54</f>
        <v>4368.239976336844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994.8901143007844</v>
      </c>
      <c r="L54" s="36">
        <f>X54</f>
        <v>0</v>
      </c>
      <c r="M54" s="36">
        <f>Y54</f>
        <v>4368.239976336844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994.8901143007844</v>
      </c>
      <c r="R54" s="46">
        <f>SUM(R55:R59)</f>
        <v>0</v>
      </c>
      <c r="S54" s="46">
        <f>SUM(S55:S59)</f>
        <v>4368.239976336844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994.8901143007844</v>
      </c>
      <c r="X54" s="46">
        <f>SUM(X55:X59)</f>
        <v>0</v>
      </c>
      <c r="Y54" s="46">
        <f>SUM(Y55:Y59)</f>
        <v>4368.239976336844</v>
      </c>
      <c r="Z54" s="46">
        <f>SUMIF($B$13:$Y$13,"Yes",B54:Y54)</f>
        <v>10726.26018127526</v>
      </c>
      <c r="AA54" s="46">
        <f>SUM(B54:M54)</f>
        <v>10726.26018127526</v>
      </c>
      <c r="AB54" s="46">
        <f>SUM(B54:Y54)</f>
        <v>21452.52036255052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4368.239976336844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4368.239976336844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4368.239976336844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4368.239976336844</v>
      </c>
      <c r="Z55" s="46">
        <f>SUMIF($B$13:$Y$13,"Yes",B55:Y55)</f>
        <v>8736.479952673688</v>
      </c>
      <c r="AA55" s="46">
        <f>SUM(B55:M55)</f>
        <v>8736.479952673688</v>
      </c>
      <c r="AB55" s="46">
        <f>SUM(B55:Y55)</f>
        <v>17472.95990534738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994.8901143007844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994.8901143007844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994.8901143007844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994.8901143007844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1989.780228601569</v>
      </c>
      <c r="AA56" s="46">
        <f>SUM(B56:M56)</f>
        <v>1989.780228601569</v>
      </c>
      <c r="AB56" s="46">
        <f>SUM(B56:Y56)</f>
        <v>3979.560457203138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14440</v>
      </c>
      <c r="C66" s="36">
        <f>O66</f>
        <v>23104</v>
      </c>
      <c r="D66" s="36">
        <f>P66</f>
        <v>23104</v>
      </c>
      <c r="E66" s="36">
        <f>Q66</f>
        <v>23104</v>
      </c>
      <c r="F66" s="36">
        <f>R66</f>
        <v>8664</v>
      </c>
      <c r="G66" s="36">
        <f>S66</f>
        <v>23104</v>
      </c>
      <c r="H66" s="36">
        <f>T66</f>
        <v>14440</v>
      </c>
      <c r="I66" s="36">
        <f>U66</f>
        <v>23104</v>
      </c>
      <c r="J66" s="36">
        <f>V66</f>
        <v>23104</v>
      </c>
      <c r="K66" s="36">
        <f>W66</f>
        <v>23104</v>
      </c>
      <c r="L66" s="36">
        <f>X66</f>
        <v>8664</v>
      </c>
      <c r="M66" s="36">
        <f>Y66</f>
        <v>23104</v>
      </c>
      <c r="N66" s="46">
        <f>SUM(N67:N71)</f>
        <v>14440</v>
      </c>
      <c r="O66" s="46">
        <f>SUM(O67:O71)</f>
        <v>23104</v>
      </c>
      <c r="P66" s="46">
        <f>SUM(P67:P71)</f>
        <v>23104</v>
      </c>
      <c r="Q66" s="46">
        <f>SUM(Q67:Q71)</f>
        <v>23104</v>
      </c>
      <c r="R66" s="46">
        <f>SUM(R67:R71)</f>
        <v>8664</v>
      </c>
      <c r="S66" s="46">
        <f>SUM(S67:S71)</f>
        <v>23104</v>
      </c>
      <c r="T66" s="46">
        <f>SUM(T67:T71)</f>
        <v>14440</v>
      </c>
      <c r="U66" s="46">
        <f>SUM(U67:U71)</f>
        <v>23104</v>
      </c>
      <c r="V66" s="46">
        <f>SUM(V67:V71)</f>
        <v>23104</v>
      </c>
      <c r="W66" s="46">
        <f>SUM(W67:W71)</f>
        <v>23104</v>
      </c>
      <c r="X66" s="46">
        <f>SUM(X67:X71)</f>
        <v>8664</v>
      </c>
      <c r="Y66" s="46">
        <f>SUM(Y67:Y71)</f>
        <v>23104</v>
      </c>
      <c r="Z66" s="46">
        <f>SUMIF($B$13:$Y$13,"Yes",B66:Y66)</f>
        <v>268584</v>
      </c>
      <c r="AA66" s="46">
        <f>SUM(B66:M66)</f>
        <v>231040</v>
      </c>
      <c r="AB66" s="46">
        <f>SUM(B66:Y66)</f>
        <v>462080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8664</v>
      </c>
      <c r="D67" s="36">
        <f>P67</f>
        <v>8664</v>
      </c>
      <c r="E67" s="36">
        <f>Q67</f>
        <v>8664</v>
      </c>
      <c r="F67" s="36">
        <f>R67</f>
        <v>8664</v>
      </c>
      <c r="G67" s="36">
        <f>S67</f>
        <v>8664</v>
      </c>
      <c r="H67" s="36">
        <f>T67</f>
        <v>0</v>
      </c>
      <c r="I67" s="36">
        <f>U67</f>
        <v>8664</v>
      </c>
      <c r="J67" s="36">
        <f>V67</f>
        <v>8664</v>
      </c>
      <c r="K67" s="36">
        <f>W67</f>
        <v>8664</v>
      </c>
      <c r="L67" s="36">
        <f>X67</f>
        <v>8664</v>
      </c>
      <c r="M67" s="36">
        <f>Y67</f>
        <v>8664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8664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8664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8664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8664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8664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8664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8664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8664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8664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8664</v>
      </c>
      <c r="Z67" s="46">
        <f>SUMIF($B$13:$Y$13,"Yes",B67:Y67)</f>
        <v>95304</v>
      </c>
      <c r="AA67" s="46">
        <f>SUM(B67:M67)</f>
        <v>86640</v>
      </c>
      <c r="AB67" s="46">
        <f>SUM(B67:Y67)</f>
        <v>173280</v>
      </c>
    </row>
    <row r="68" spans="1:30" hidden="true" outlineLevel="1">
      <c r="A68" s="181" t="str">
        <f>Calculations!$A$5</f>
        <v>Beans</v>
      </c>
      <c r="B68" s="36">
        <f>N68</f>
        <v>14440</v>
      </c>
      <c r="C68" s="36">
        <f>O68</f>
        <v>14440</v>
      </c>
      <c r="D68" s="36">
        <f>P68</f>
        <v>14440</v>
      </c>
      <c r="E68" s="36">
        <f>Q68</f>
        <v>14440</v>
      </c>
      <c r="F68" s="36">
        <f>R68</f>
        <v>0</v>
      </c>
      <c r="G68" s="36">
        <f>S68</f>
        <v>14440</v>
      </c>
      <c r="H68" s="36">
        <f>T68</f>
        <v>14440</v>
      </c>
      <c r="I68" s="36">
        <f>U68</f>
        <v>14440</v>
      </c>
      <c r="J68" s="36">
        <f>V68</f>
        <v>14440</v>
      </c>
      <c r="K68" s="36">
        <f>W68</f>
        <v>14440</v>
      </c>
      <c r="L68" s="36">
        <f>X68</f>
        <v>0</v>
      </c>
      <c r="M68" s="36">
        <f>Y68</f>
        <v>14440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14440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14440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14440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14440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14440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14440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14440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14440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14440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14440</v>
      </c>
      <c r="Z68" s="46">
        <f>SUMIF($B$13:$Y$13,"Yes",B68:Y68)</f>
        <v>173280</v>
      </c>
      <c r="AA68" s="46">
        <f>SUM(B68:M68)</f>
        <v>144400</v>
      </c>
      <c r="AB68" s="46">
        <f>SUM(B68:Y68)</f>
        <v>288800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70000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14694.37159603915</v>
      </c>
      <c r="C81" s="46">
        <f>(SUM($AA$18:$AA$29)-SUM($AA$36,$AA$42,$AA$48,$AA$54,$AA$60,$AA$66,$AA$72:$AA$79))*Parameters!$B$37/12</f>
        <v>14694.37159603915</v>
      </c>
      <c r="D81" s="46">
        <f>(SUM($AA$18:$AA$29)-SUM($AA$36,$AA$42,$AA$48,$AA$54,$AA$60,$AA$66,$AA$72:$AA$79))*Parameters!$B$37/12</f>
        <v>14694.37159603915</v>
      </c>
      <c r="E81" s="46">
        <f>(SUM($AA$18:$AA$29)-SUM($AA$36,$AA$42,$AA$48,$AA$54,$AA$60,$AA$66,$AA$72:$AA$79))*Parameters!$B$37/12</f>
        <v>14694.37159603915</v>
      </c>
      <c r="F81" s="46">
        <f>(SUM($AA$18:$AA$29)-SUM($AA$36,$AA$42,$AA$48,$AA$54,$AA$60,$AA$66,$AA$72:$AA$79))*Parameters!$B$37/12</f>
        <v>14694.37159603915</v>
      </c>
      <c r="G81" s="46">
        <f>(SUM($AA$18:$AA$29)-SUM($AA$36,$AA$42,$AA$48,$AA$54,$AA$60,$AA$66,$AA$72:$AA$79))*Parameters!$B$37/12</f>
        <v>14694.37159603915</v>
      </c>
      <c r="H81" s="46">
        <f>(SUM($AA$18:$AA$29)-SUM($AA$36,$AA$42,$AA$48,$AA$54,$AA$60,$AA$66,$AA$72:$AA$79))*Parameters!$B$37/12</f>
        <v>14694.37159603915</v>
      </c>
      <c r="I81" s="46">
        <f>(SUM($AA$18:$AA$29)-SUM($AA$36,$AA$42,$AA$48,$AA$54,$AA$60,$AA$66,$AA$72:$AA$79))*Parameters!$B$37/12</f>
        <v>14694.37159603915</v>
      </c>
      <c r="J81" s="46">
        <f>(SUM($AA$18:$AA$29)-SUM($AA$36,$AA$42,$AA$48,$AA$54,$AA$60,$AA$66,$AA$72:$AA$79))*Parameters!$B$37/12</f>
        <v>14694.37159603915</v>
      </c>
      <c r="K81" s="46">
        <f>(SUM($AA$18:$AA$29)-SUM($AA$36,$AA$42,$AA$48,$AA$54,$AA$60,$AA$66,$AA$72:$AA$79))*Parameters!$B$37/12</f>
        <v>14694.37159603915</v>
      </c>
      <c r="L81" s="46">
        <f>(SUM($AA$18:$AA$29)-SUM($AA$36,$AA$42,$AA$48,$AA$54,$AA$60,$AA$66,$AA$72:$AA$79))*Parameters!$B$37/12</f>
        <v>14694.37159603915</v>
      </c>
      <c r="M81" s="46">
        <f>(SUM($AA$18:$AA$29)-SUM($AA$36,$AA$42,$AA$48,$AA$54,$AA$60,$AA$66,$AA$72:$AA$79))*Parameters!$B$37/12</f>
        <v>14694.37159603915</v>
      </c>
      <c r="N81" s="46">
        <f>(SUM($AA$18:$AA$29)-SUM($AA$36,$AA$42,$AA$48,$AA$54,$AA$60,$AA$66,$AA$72:$AA$79))*Parameters!$B$37/12</f>
        <v>14694.37159603915</v>
      </c>
      <c r="O81" s="46">
        <f>(SUM($AA$18:$AA$29)-SUM($AA$36,$AA$42,$AA$48,$AA$54,$AA$60,$AA$66,$AA$72:$AA$79))*Parameters!$B$37/12</f>
        <v>14694.37159603915</v>
      </c>
      <c r="P81" s="46">
        <f>(SUM($AA$18:$AA$29)-SUM($AA$36,$AA$42,$AA$48,$AA$54,$AA$60,$AA$66,$AA$72:$AA$79))*Parameters!$B$37/12</f>
        <v>14694.37159603915</v>
      </c>
      <c r="Q81" s="46">
        <f>(SUM($AA$18:$AA$29)-SUM($AA$36,$AA$42,$AA$48,$AA$54,$AA$60,$AA$66,$AA$72:$AA$79))*Parameters!$B$37/12</f>
        <v>14694.37159603915</v>
      </c>
      <c r="R81" s="46">
        <f>(SUM($AA$18:$AA$29)-SUM($AA$36,$AA$42,$AA$48,$AA$54,$AA$60,$AA$66,$AA$72:$AA$79))*Parameters!$B$37/12</f>
        <v>14694.37159603915</v>
      </c>
      <c r="S81" s="46">
        <f>(SUM($AA$18:$AA$29)-SUM($AA$36,$AA$42,$AA$48,$AA$54,$AA$60,$AA$66,$AA$72:$AA$79))*Parameters!$B$37/12</f>
        <v>14694.37159603915</v>
      </c>
      <c r="T81" s="46">
        <f>(SUM($AA$18:$AA$29)-SUM($AA$36,$AA$42,$AA$48,$AA$54,$AA$60,$AA$66,$AA$72:$AA$79))*Parameters!$B$37/12</f>
        <v>14694.37159603915</v>
      </c>
      <c r="U81" s="46">
        <f>(SUM($AA$18:$AA$29)-SUM($AA$36,$AA$42,$AA$48,$AA$54,$AA$60,$AA$66,$AA$72:$AA$79))*Parameters!$B$37/12</f>
        <v>14694.37159603915</v>
      </c>
      <c r="V81" s="46">
        <f>(SUM($AA$18:$AA$29)-SUM($AA$36,$AA$42,$AA$48,$AA$54,$AA$60,$AA$66,$AA$72:$AA$79))*Parameters!$B$37/12</f>
        <v>14694.37159603915</v>
      </c>
      <c r="W81" s="46">
        <f>(SUM($AA$18:$AA$29)-SUM($AA$36,$AA$42,$AA$48,$AA$54,$AA$60,$AA$66,$AA$72:$AA$79))*Parameters!$B$37/12</f>
        <v>14694.37159603915</v>
      </c>
      <c r="X81" s="46">
        <f>(SUM($AA$18:$AA$29)-SUM($AA$36,$AA$42,$AA$48,$AA$54,$AA$60,$AA$66,$AA$72:$AA$79))*Parameters!$B$37/12</f>
        <v>14694.37159603915</v>
      </c>
      <c r="Y81" s="46">
        <f>(SUM($AA$18:$AA$29)-SUM($AA$36,$AA$42,$AA$48,$AA$54,$AA$60,$AA$66,$AA$72:$AA$79))*Parameters!$B$37/12</f>
        <v>14694.37159603915</v>
      </c>
      <c r="Z81" s="46">
        <f>SUMIF($B$13:$Y$13,"Yes",B81:Y81)</f>
        <v>205721.2023445481</v>
      </c>
      <c r="AA81" s="46">
        <f>SUM(B81:M81)</f>
        <v>176332.4591524698</v>
      </c>
      <c r="AB81" s="46">
        <f>SUM(B81:Y81)</f>
        <v>352664.9183049396</v>
      </c>
    </row>
    <row r="82" spans="1:30">
      <c r="A82" s="16" t="s">
        <v>52</v>
      </c>
      <c r="B82" s="46">
        <f>SUM(B83:B87)</f>
        <v>33341.87322506737</v>
      </c>
      <c r="C82" s="46">
        <f>SUM(C83:C87)</f>
        <v>33341.87322506737</v>
      </c>
      <c r="D82" s="46">
        <f>SUM(D83:D87)</f>
        <v>33341.87322506737</v>
      </c>
      <c r="E82" s="46">
        <f>SUM(E83:E87)</f>
        <v>33341.87322506737</v>
      </c>
      <c r="F82" s="46">
        <f>SUM(F83:F87)</f>
        <v>33341.87322506737</v>
      </c>
      <c r="G82" s="46">
        <f>SUM(G83:G87)</f>
        <v>33341.87322506737</v>
      </c>
      <c r="H82" s="46">
        <f>SUM(H83:H87)</f>
        <v>33341.87322506737</v>
      </c>
      <c r="I82" s="46">
        <f>SUM(I83:I87)</f>
        <v>33341.87322506737</v>
      </c>
      <c r="J82" s="46">
        <f>SUM(J83:J87)</f>
        <v>33341.87322506737</v>
      </c>
      <c r="K82" s="46">
        <f>SUM(K83:K87)</f>
        <v>33341.87322506737</v>
      </c>
      <c r="L82" s="46">
        <f>SUM(L83:L87)</f>
        <v>33341.87322506737</v>
      </c>
      <c r="M82" s="46">
        <f>SUM(M83:M87)</f>
        <v>33341.87322506737</v>
      </c>
      <c r="N82" s="46">
        <f>SUM(N83:N87)</f>
        <v>33341.87322506737</v>
      </c>
      <c r="O82" s="46">
        <f>SUM(O83:O87)</f>
        <v>33341.87322506737</v>
      </c>
      <c r="P82" s="46">
        <f>SUM(P83:P87)</f>
        <v>190895.6554032852</v>
      </c>
      <c r="Q82" s="46">
        <f>SUM(Q83:Q87)</f>
        <v>2949.992036948559</v>
      </c>
      <c r="R82" s="46">
        <f>SUM(R83:R87)</f>
        <v>2949.992036948559</v>
      </c>
      <c r="S82" s="46">
        <f>SUM(S83:S87)</f>
        <v>2949.992036948559</v>
      </c>
      <c r="T82" s="46">
        <f>SUM(T83:T87)</f>
        <v>2949.992036948559</v>
      </c>
      <c r="U82" s="46">
        <f>SUM(U83:U87)</f>
        <v>2949.992036948559</v>
      </c>
      <c r="V82" s="46">
        <f>SUM(V83:V87)</f>
        <v>2949.992036948559</v>
      </c>
      <c r="W82" s="46">
        <f>SUM(W83:W87)</f>
        <v>2949.992036948559</v>
      </c>
      <c r="X82" s="46">
        <f>SUM(X83:X87)</f>
        <v>2949.992036948559</v>
      </c>
      <c r="Y82" s="46">
        <f>SUM(Y83:Y87)</f>
        <v>2949.992036948559</v>
      </c>
      <c r="Z82" s="46">
        <f>SUMIF($B$13:$Y$13,"Yes",B82:Y82)</f>
        <v>466786.2251509433</v>
      </c>
      <c r="AA82" s="46">
        <f>SUM(B82:M82)</f>
        <v>400102.4787008085</v>
      </c>
      <c r="AB82" s="46">
        <f>SUM(B82:Y82)</f>
        <v>684231.8088867656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30391.88118811881</v>
      </c>
      <c r="C84" s="46">
        <f>IF(Calculations!$E24&gt;COUNT(Output!$B$35:C$35),Calculations!$B24,IF(Calculations!$E24=COUNT(Output!$B$35:C$35),Inputs!$B57-Calculations!$C24*(Calculations!$E24-1)+Calculations!$D24,0))</f>
        <v>30391.88118811881</v>
      </c>
      <c r="D84" s="46">
        <f>IF(Calculations!$E24&gt;COUNT(Output!$B$35:D$35),Calculations!$B24,IF(Calculations!$E24=COUNT(Output!$B$35:D$35),Inputs!$B57-Calculations!$C24*(Calculations!$E24-1)+Calculations!$D24,0))</f>
        <v>30391.88118811881</v>
      </c>
      <c r="E84" s="46">
        <f>IF(Calculations!$E24&gt;COUNT(Output!$B$35:E$35),Calculations!$B24,IF(Calculations!$E24=COUNT(Output!$B$35:E$35),Inputs!$B57-Calculations!$C24*(Calculations!$E24-1)+Calculations!$D24,0))</f>
        <v>30391.88118811881</v>
      </c>
      <c r="F84" s="46">
        <f>IF(Calculations!$E24&gt;COUNT(Output!$B$35:F$35),Calculations!$B24,IF(Calculations!$E24=COUNT(Output!$B$35:F$35),Inputs!$B57-Calculations!$C24*(Calculations!$E24-1)+Calculations!$D24,0))</f>
        <v>30391.88118811881</v>
      </c>
      <c r="G84" s="46">
        <f>IF(Calculations!$E24&gt;COUNT(Output!$B$35:G$35),Calculations!$B24,IF(Calculations!$E24=COUNT(Output!$B$35:G$35),Inputs!$B57-Calculations!$C24*(Calculations!$E24-1)+Calculations!$D24,0))</f>
        <v>30391.88118811881</v>
      </c>
      <c r="H84" s="46">
        <f>IF(Calculations!$E24&gt;COUNT(Output!$B$35:H$35),Calculations!$B24,IF(Calculations!$E24=COUNT(Output!$B$35:H$35),Inputs!$B57-Calculations!$C24*(Calculations!$E24-1)+Calculations!$D24,0))</f>
        <v>30391.88118811881</v>
      </c>
      <c r="I84" s="46">
        <f>IF(Calculations!$E24&gt;COUNT(Output!$B$35:I$35),Calculations!$B24,IF(Calculations!$E24=COUNT(Output!$B$35:I$35),Inputs!$B57-Calculations!$C24*(Calculations!$E24-1)+Calculations!$D24,0))</f>
        <v>30391.88118811881</v>
      </c>
      <c r="J84" s="46">
        <f>IF(Calculations!$E24&gt;COUNT(Output!$B$35:J$35),Calculations!$B24,IF(Calculations!$E24=COUNT(Output!$B$35:J$35),Inputs!$B57-Calculations!$C24*(Calculations!$E24-1)+Calculations!$D24,0))</f>
        <v>30391.88118811881</v>
      </c>
      <c r="K84" s="46">
        <f>IF(Calculations!$E24&gt;COUNT(Output!$B$35:K$35),Calculations!$B24,IF(Calculations!$E24=COUNT(Output!$B$35:K$35),Inputs!$B57-Calculations!$C24*(Calculations!$E24-1)+Calculations!$D24,0))</f>
        <v>30391.88118811881</v>
      </c>
      <c r="L84" s="46">
        <f>IF(Calculations!$E24&gt;COUNT(Output!$B$35:L$35),Calculations!$B24,IF(Calculations!$E24=COUNT(Output!$B$35:L$35),Inputs!$B57-Calculations!$C24*(Calculations!$E24-1)+Calculations!$D24,0))</f>
        <v>30391.88118811881</v>
      </c>
      <c r="M84" s="46">
        <f>IF(Calculations!$E24&gt;COUNT(Output!$B$35:M$35),Calculations!$B24,IF(Calculations!$E24=COUNT(Output!$B$35:M$35),Inputs!$B57-Calculations!$C24*(Calculations!$E24-1)+Calculations!$D24,0))</f>
        <v>30391.88118811881</v>
      </c>
      <c r="N84" s="46">
        <f>IF(Calculations!$E24&gt;COUNT(Output!$B$35:N$35),Calculations!$B24,IF(Calculations!$E24=COUNT(Output!$B$35:N$35),Inputs!$B57-Calculations!$C24*(Calculations!$E24-1)+Calculations!$D24,0))</f>
        <v>30391.88118811881</v>
      </c>
      <c r="O84" s="46">
        <f>IF(Calculations!$E24&gt;COUNT(Output!$B$35:O$35),Calculations!$B24,IF(Calculations!$E24=COUNT(Output!$B$35:O$35),Inputs!$B57-Calculations!$C24*(Calculations!$E24-1)+Calculations!$D24,0))</f>
        <v>30391.88118811881</v>
      </c>
      <c r="P84" s="46">
        <f>IF(Calculations!$E24&gt;COUNT(Output!$B$35:P$35),Calculations!$B24,IF(Calculations!$E24=COUNT(Output!$B$35:P$35),Inputs!$B57-Calculations!$C24*(Calculations!$E24-1)+Calculations!$D24,0))</f>
        <v>187945.6633663366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425486.3366336634</v>
      </c>
      <c r="AA84" s="46">
        <f>SUM(B84:M84)</f>
        <v>364702.5742574258</v>
      </c>
      <c r="AB84" s="46">
        <f>SUM(B84:Y84)</f>
        <v>613432.0000000001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2949.992036948559</v>
      </c>
      <c r="C85" s="46">
        <f>IF(Calculations!$E25&gt;COUNT(Output!$B$35:C$35),Calculations!$B25,IF(Calculations!$E25=COUNT(Output!$B$35:C$35),Inputs!$B58-Calculations!$C25*(Calculations!$E25-1)+Calculations!$D25,0))</f>
        <v>2949.992036948559</v>
      </c>
      <c r="D85" s="46">
        <f>IF(Calculations!$E25&gt;COUNT(Output!$B$35:D$35),Calculations!$B25,IF(Calculations!$E25=COUNT(Output!$B$35:D$35),Inputs!$B58-Calculations!$C25*(Calculations!$E25-1)+Calculations!$D25,0))</f>
        <v>2949.992036948559</v>
      </c>
      <c r="E85" s="46">
        <f>IF(Calculations!$E25&gt;COUNT(Output!$B$35:E$35),Calculations!$B25,IF(Calculations!$E25=COUNT(Output!$B$35:E$35),Inputs!$B58-Calculations!$C25*(Calculations!$E25-1)+Calculations!$D25,0))</f>
        <v>2949.992036948559</v>
      </c>
      <c r="F85" s="46">
        <f>IF(Calculations!$E25&gt;COUNT(Output!$B$35:F$35),Calculations!$B25,IF(Calculations!$E25=COUNT(Output!$B$35:F$35),Inputs!$B58-Calculations!$C25*(Calculations!$E25-1)+Calculations!$D25,0))</f>
        <v>2949.992036948559</v>
      </c>
      <c r="G85" s="46">
        <f>IF(Calculations!$E25&gt;COUNT(Output!$B$35:G$35),Calculations!$B25,IF(Calculations!$E25=COUNT(Output!$B$35:G$35),Inputs!$B58-Calculations!$C25*(Calculations!$E25-1)+Calculations!$D25,0))</f>
        <v>2949.992036948559</v>
      </c>
      <c r="H85" s="46">
        <f>IF(Calculations!$E25&gt;COUNT(Output!$B$35:H$35),Calculations!$B25,IF(Calculations!$E25=COUNT(Output!$B$35:H$35),Inputs!$B58-Calculations!$C25*(Calculations!$E25-1)+Calculations!$D25,0))</f>
        <v>2949.992036948559</v>
      </c>
      <c r="I85" s="46">
        <f>IF(Calculations!$E25&gt;COUNT(Output!$B$35:I$35),Calculations!$B25,IF(Calculations!$E25=COUNT(Output!$B$35:I$35),Inputs!$B58-Calculations!$C25*(Calculations!$E25-1)+Calculations!$D25,0))</f>
        <v>2949.992036948559</v>
      </c>
      <c r="J85" s="46">
        <f>IF(Calculations!$E25&gt;COUNT(Output!$B$35:J$35),Calculations!$B25,IF(Calculations!$E25=COUNT(Output!$B$35:J$35),Inputs!$B58-Calculations!$C25*(Calculations!$E25-1)+Calculations!$D25,0))</f>
        <v>2949.992036948559</v>
      </c>
      <c r="K85" s="46">
        <f>IF(Calculations!$E25&gt;COUNT(Output!$B$35:K$35),Calculations!$B25,IF(Calculations!$E25=COUNT(Output!$B$35:K$35),Inputs!$B58-Calculations!$C25*(Calculations!$E25-1)+Calculations!$D25,0))</f>
        <v>2949.992036948559</v>
      </c>
      <c r="L85" s="46">
        <f>IF(Calculations!$E25&gt;COUNT(Output!$B$35:L$35),Calculations!$B25,IF(Calculations!$E25=COUNT(Output!$B$35:L$35),Inputs!$B58-Calculations!$C25*(Calculations!$E25-1)+Calculations!$D25,0))</f>
        <v>2949.992036948559</v>
      </c>
      <c r="M85" s="46">
        <f>IF(Calculations!$E25&gt;COUNT(Output!$B$35:M$35),Calculations!$B25,IF(Calculations!$E25=COUNT(Output!$B$35:M$35),Inputs!$B58-Calculations!$C25*(Calculations!$E25-1)+Calculations!$D25,0))</f>
        <v>2949.992036948559</v>
      </c>
      <c r="N85" s="46">
        <f>IF(Calculations!$E25&gt;COUNT(Output!$B$35:N$35),Calculations!$B25,IF(Calculations!$E25=COUNT(Output!$B$35:N$35),Inputs!$B58-Calculations!$C25*(Calculations!$E25-1)+Calculations!$D25,0))</f>
        <v>2949.992036948559</v>
      </c>
      <c r="O85" s="46">
        <f>IF(Calculations!$E25&gt;COUNT(Output!$B$35:O$35),Calculations!$B25,IF(Calculations!$E25=COUNT(Output!$B$35:O$35),Inputs!$B58-Calculations!$C25*(Calculations!$E25-1)+Calculations!$D25,0))</f>
        <v>2949.992036948559</v>
      </c>
      <c r="P85" s="46">
        <f>IF(Calculations!$E25&gt;COUNT(Output!$B$35:P$35),Calculations!$B25,IF(Calculations!$E25=COUNT(Output!$B$35:P$35),Inputs!$B58-Calculations!$C25*(Calculations!$E25-1)+Calculations!$D25,0))</f>
        <v>2949.992036948559</v>
      </c>
      <c r="Q85" s="46">
        <f>IF(Calculations!$E25&gt;COUNT(Output!$B$35:Q$35),Calculations!$B25,IF(Calculations!$E25=COUNT(Output!$B$35:Q$35),Inputs!$B58-Calculations!$C25*(Calculations!$E25-1)+Calculations!$D25,0))</f>
        <v>2949.992036948559</v>
      </c>
      <c r="R85" s="46">
        <f>IF(Calculations!$E25&gt;COUNT(Output!$B$35:R$35),Calculations!$B25,IF(Calculations!$E25=COUNT(Output!$B$35:R$35),Inputs!$B58-Calculations!$C25*(Calculations!$E25-1)+Calculations!$D25,0))</f>
        <v>2949.992036948559</v>
      </c>
      <c r="S85" s="46">
        <f>IF(Calculations!$E25&gt;COUNT(Output!$B$35:S$35),Calculations!$B25,IF(Calculations!$E25=COUNT(Output!$B$35:S$35),Inputs!$B58-Calculations!$C25*(Calculations!$E25-1)+Calculations!$D25,0))</f>
        <v>2949.992036948559</v>
      </c>
      <c r="T85" s="46">
        <f>IF(Calculations!$E25&gt;COUNT(Output!$B$35:T$35),Calculations!$B25,IF(Calculations!$E25=COUNT(Output!$B$35:T$35),Inputs!$B58-Calculations!$C25*(Calculations!$E25-1)+Calculations!$D25,0))</f>
        <v>2949.992036948559</v>
      </c>
      <c r="U85" s="46">
        <f>IF(Calculations!$E25&gt;COUNT(Output!$B$35:U$35),Calculations!$B25,IF(Calculations!$E25=COUNT(Output!$B$35:U$35),Inputs!$B58-Calculations!$C25*(Calculations!$E25-1)+Calculations!$D25,0))</f>
        <v>2949.992036948559</v>
      </c>
      <c r="V85" s="46">
        <f>IF(Calculations!$E25&gt;COUNT(Output!$B$35:V$35),Calculations!$B25,IF(Calculations!$E25=COUNT(Output!$B$35:V$35),Inputs!$B58-Calculations!$C25*(Calculations!$E25-1)+Calculations!$D25,0))</f>
        <v>2949.992036948559</v>
      </c>
      <c r="W85" s="46">
        <f>IF(Calculations!$E25&gt;COUNT(Output!$B$35:W$35),Calculations!$B25,IF(Calculations!$E25=COUNT(Output!$B$35:W$35),Inputs!$B58-Calculations!$C25*(Calculations!$E25-1)+Calculations!$D25,0))</f>
        <v>2949.992036948559</v>
      </c>
      <c r="X85" s="46">
        <f>IF(Calculations!$E25&gt;COUNT(Output!$B$35:X$35),Calculations!$B25,IF(Calculations!$E25=COUNT(Output!$B$35:X$35),Inputs!$B58-Calculations!$C25*(Calculations!$E25-1)+Calculations!$D25,0))</f>
        <v>2949.992036948559</v>
      </c>
      <c r="Y85" s="46">
        <f>IF(Calculations!$E25&gt;COUNT(Output!$B$35:Y$35),Calculations!$B25,IF(Calculations!$E25=COUNT(Output!$B$35:Y$35),Inputs!$B58-Calculations!$C25*(Calculations!$E25-1)+Calculations!$D25,0))</f>
        <v>2949.992036948559</v>
      </c>
      <c r="Z85" s="46">
        <f>SUMIF($B$13:$Y$13,"Yes",B85:Y85)</f>
        <v>41299.88851727981</v>
      </c>
      <c r="AA85" s="46">
        <f>SUM(B85:M85)</f>
        <v>35399.9044433827</v>
      </c>
      <c r="AB85" s="46">
        <f>SUM(B85:Y85)</f>
        <v>70799.80888676537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67476.24482110652</v>
      </c>
      <c r="C88" s="19">
        <f>SUM(C72:C82,C66,C60,C54,C48,C42,C36)</f>
        <v>97352.24482110652</v>
      </c>
      <c r="D88" s="19">
        <f>SUM(D72:D82,D66,D60,D54,D48,D42,D36)</f>
        <v>76140.24482110652</v>
      </c>
      <c r="E88" s="19">
        <f>SUM(E72:E82,E66,E60,E54,E48,E42,E36)</f>
        <v>78335.1349354073</v>
      </c>
      <c r="F88" s="19">
        <f>SUM(F72:F82,F66,F60,F54,F48,F42,F36)</f>
        <v>61700.24482110652</v>
      </c>
      <c r="G88" s="19">
        <f>SUM(G72:G82,G66,G60,G54,G48,G42,G36)</f>
        <v>98508.48479744337</v>
      </c>
      <c r="H88" s="19">
        <f>SUM(H72:H82,H66,H60,H54,H48,H42,H36)</f>
        <v>67476.24482110652</v>
      </c>
      <c r="I88" s="19">
        <f>SUM(I72:I82,I66,I60,I54,I48,I42,I36)</f>
        <v>97352.24482110652</v>
      </c>
      <c r="J88" s="19">
        <f>SUM(J72:J82,J66,J60,J54,J48,J42,J36)</f>
        <v>76140.24482110652</v>
      </c>
      <c r="K88" s="19">
        <f>SUM(K72:K82,K66,K60,K54,K48,K42,K36)</f>
        <v>78335.1349354073</v>
      </c>
      <c r="L88" s="19">
        <f>SUM(L72:L82,L66,L60,L54,L48,L42,L36)</f>
        <v>61700.24482110652</v>
      </c>
      <c r="M88" s="19">
        <f>SUM(M72:M82,M66,M60,M54,M48,M42,M36)</f>
        <v>98508.48479744337</v>
      </c>
      <c r="N88" s="19">
        <f>SUM(N72:N82,N66,N60,N54,N48,N42,N36)</f>
        <v>67476.24482110652</v>
      </c>
      <c r="O88" s="19">
        <f>SUM(O72:O82,O66,O60,O54,O48,O42,O36)</f>
        <v>97352.24482110652</v>
      </c>
      <c r="P88" s="19">
        <f>SUM(P72:P82,P66,P60,P54,P48,P42,P36)</f>
        <v>233694.0269993244</v>
      </c>
      <c r="Q88" s="19">
        <f>SUM(Q72:Q82,Q66,Q60,Q54,Q48,Q42,Q36)</f>
        <v>47943.25374728849</v>
      </c>
      <c r="R88" s="19">
        <f>SUM(R72:R82,R66,R60,R54,R48,R42,R36)</f>
        <v>31308.36363298771</v>
      </c>
      <c r="S88" s="19">
        <f>SUM(S72:S82,S66,S60,S54,S48,S42,S36)</f>
        <v>68116.60360932455</v>
      </c>
      <c r="T88" s="19">
        <f>SUM(T72:T82,T66,T60,T54,T48,T42,T36)</f>
        <v>37084.3636329877</v>
      </c>
      <c r="U88" s="19">
        <f>SUM(U72:U82,U66,U60,U54,U48,U42,U36)</f>
        <v>66960.3636329877</v>
      </c>
      <c r="V88" s="19">
        <f>SUM(V72:V82,V66,V60,V54,V48,V42,V36)</f>
        <v>45748.3636329877</v>
      </c>
      <c r="W88" s="19">
        <f>SUM(W72:W82,W66,W60,W54,W48,W42,W36)</f>
        <v>47943.25374728849</v>
      </c>
      <c r="X88" s="19">
        <f>SUM(X72:X82,X66,X60,X54,X48,X42,X36)</f>
        <v>31308.36363298771</v>
      </c>
      <c r="Y88" s="19">
        <f>SUM(Y72:Y82,Y66,Y60,Y54,Y48,Y42,Y36)</f>
        <v>68116.60360932455</v>
      </c>
      <c r="Z88" s="19">
        <f>SUMIF($B$13:$Y$13,"Yes",B88:Y88)</f>
        <v>1123853.687676767</v>
      </c>
      <c r="AA88" s="19">
        <f>SUM(B88:M88)</f>
        <v>959025.1980345537</v>
      </c>
      <c r="AB88" s="19">
        <f>SUM(B88:Y88)</f>
        <v>1802077.247554256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310000</v>
      </c>
    </row>
    <row r="95" spans="1:30">
      <c r="A95" t="s">
        <v>61</v>
      </c>
      <c r="B95" s="36">
        <f>Inputs!B47</f>
        <v>320000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88000000</v>
      </c>
    </row>
    <row r="98" spans="1:30">
      <c r="A98" t="s">
        <v>64</v>
      </c>
      <c r="B98" s="36">
        <f>IF(Inputs!B44="Yes",Inputs!B45,0)</f>
        <v>3600000</v>
      </c>
    </row>
    <row r="99" spans="1:30">
      <c r="A99" t="s">
        <v>65</v>
      </c>
      <c r="B99" s="36">
        <f>Inputs!B46</f>
        <v>600000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92830000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605264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755264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45000</v>
      </c>
    </row>
    <row r="31" spans="1:48">
      <c r="A31" s="5" t="s">
        <v>116</v>
      </c>
      <c r="B31" s="158">
        <v>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3600000</v>
      </c>
    </row>
    <row r="46" spans="1:48" customHeight="1" ht="30">
      <c r="A46" s="57" t="s">
        <v>130</v>
      </c>
      <c r="B46" s="161">
        <v>600000</v>
      </c>
    </row>
    <row r="47" spans="1:48" customHeight="1" ht="30">
      <c r="A47" s="57" t="s">
        <v>131</v>
      </c>
      <c r="B47" s="161">
        <v>320000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310000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25000</v>
      </c>
      <c r="B56" s="159">
        <v>26632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672000</v>
      </c>
      <c r="B57" s="157">
        <v>428632</v>
      </c>
      <c r="C57" s="164" t="s">
        <v>145</v>
      </c>
      <c r="D57" s="165" t="s">
        <v>146</v>
      </c>
      <c r="E57" s="165" t="s">
        <v>92</v>
      </c>
      <c r="F57" s="165" t="s">
        <v>147</v>
      </c>
    </row>
    <row r="58" spans="1:48">
      <c r="A58" s="157">
        <v>200000</v>
      </c>
      <c r="B58" s="157">
        <v>150000</v>
      </c>
      <c r="C58" s="164" t="s">
        <v>148</v>
      </c>
      <c r="D58" s="165" t="s">
        <v>149</v>
      </c>
      <c r="E58" s="165" t="s">
        <v>92</v>
      </c>
      <c r="F58" s="165" t="s">
        <v>147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151</v>
      </c>
      <c r="C65" s="10" t="s">
        <v>152</v>
      </c>
    </row>
    <row r="66" spans="1:48">
      <c r="A66" s="142" t="s">
        <v>153</v>
      </c>
      <c r="B66" s="159">
        <v>87646</v>
      </c>
      <c r="C66" s="163">
        <v>61224</v>
      </c>
      <c r="D66" s="49">
        <f>INDEX(Parameters!$D$79:$D$90,MATCH(Inputs!A66,Parameters!$C$79:$C$90,0))</f>
        <v>8</v>
      </c>
    </row>
    <row r="67" spans="1:48">
      <c r="A67" s="143" t="s">
        <v>154</v>
      </c>
      <c r="B67" s="157">
        <v>103760</v>
      </c>
      <c r="C67" s="165">
        <v>72040</v>
      </c>
      <c r="D67" s="49">
        <f>INDEX(Parameters!$D$79:$D$90,MATCH(Inputs!A67,Parameters!$C$79:$C$90,0))</f>
        <v>7</v>
      </c>
    </row>
    <row r="68" spans="1:48">
      <c r="A68" s="143" t="s">
        <v>155</v>
      </c>
      <c r="B68" s="157">
        <v>269820</v>
      </c>
      <c r="C68" s="165">
        <v>229259</v>
      </c>
      <c r="D68" s="49">
        <f>INDEX(Parameters!$D$79:$D$90,MATCH(Inputs!A68,Parameters!$C$79:$C$90,0))</f>
        <v>6</v>
      </c>
    </row>
    <row r="69" spans="1:48">
      <c r="A69" s="143" t="s">
        <v>156</v>
      </c>
      <c r="B69" s="157">
        <v>408820</v>
      </c>
      <c r="C69" s="165">
        <v>367223</v>
      </c>
      <c r="D69" s="49">
        <f>INDEX(Parameters!$D$79:$D$90,MATCH(Inputs!A69,Parameters!$C$79:$C$90,0))</f>
        <v>5</v>
      </c>
    </row>
    <row r="70" spans="1:48">
      <c r="A70" s="143" t="s">
        <v>157</v>
      </c>
      <c r="B70" s="157">
        <v>149135</v>
      </c>
      <c r="C70" s="165">
        <v>119660</v>
      </c>
      <c r="D70" s="49">
        <f>INDEX(Parameters!$D$79:$D$90,MATCH(Inputs!A70,Parameters!$C$79:$C$90,0))</f>
        <v>4</v>
      </c>
    </row>
    <row r="71" spans="1:48">
      <c r="A71" s="144" t="s">
        <v>94</v>
      </c>
      <c r="B71" s="158">
        <v>171502</v>
      </c>
      <c r="C71" s="167">
        <v>67955</v>
      </c>
      <c r="D71" s="49">
        <f>INDEX(Parameters!$D$79:$D$90,MATCH(Inputs!A71,Parameters!$C$79:$C$90,0))</f>
        <v>3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150000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4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3798.469544640734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151558.9348311653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8000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4368.239976336844</v>
      </c>
      <c r="AB4" s="33">
        <f>H4*IFERROR(INDEX(Parameters!$A$3:$AI$17,MATCH(Calculations!A4,Parameters!$A$3:$A$17,0),MATCH(Parameters!$O$3,Parameters!$A$3:$AI$3,0)),AVERAGE(Parameters!$O$4:$O$17))*(1-Inputs!$B$25/100)</f>
        <v>45600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43160</v>
      </c>
      <c r="D5" s="39">
        <f>IFERROR(DATE(YEAR(B5),MONTH(B5)+T5,DAY(B5)),"")</f>
        <v>43221</v>
      </c>
      <c r="E5" s="39">
        <f>IFERROR(IF($S5=0,"",IF($S5=2,DATE(YEAR(B5),MONTH(B5)+6,DAY(B5)),IF($S5=1,B5,""))),"")</f>
        <v>43282</v>
      </c>
      <c r="F5" s="39">
        <f>IFERROR(IF($S5=0,"",IF($S5=2,DATE(YEAR(C5),MONTH(C5)+6,DAY(C5)),IF($S5=1,C5,""))),"")</f>
        <v>43344</v>
      </c>
      <c r="G5" s="39">
        <f>IFERROR(IF($S5=0,"",IF($S5=2,DATE(YEAR(D5),MONTH(D5)+6,DAY(D5)),IF($S5=1,D5,""))),"")</f>
        <v>43405</v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2387.736274321882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111149.1235696836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10000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12000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994.8901143007844</v>
      </c>
      <c r="AB5" s="34">
        <f>H5*IFERROR(INDEX(Parameters!$A$3:$AI$17,MATCH(Calculations!A5,Parameters!$A$3:$A$17,0),MATCH(Parameters!$O$3,Parameters!$A$3:$AI$3,0)),AVERAGE(Parameters!$O$4:$O$17))*(1-Inputs!$B$25/100)</f>
        <v>76000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25000</v>
      </c>
      <c r="B23" s="75">
        <f>SUM(C23:D23)</f>
        <v>-272.4129353233831</v>
      </c>
      <c r="C23" s="75">
        <f>IF(Inputs!B56&gt;0,(Inputs!A56-Inputs!B56)/(DATE(YEAR(Inputs!$B$76),MONTH(Inputs!$B$76),DAY(Inputs!$B$76))-DATE(YEAR(Inputs!C56),MONTH(Inputs!C56),DAY(Inputs!C56)))*30,0)</f>
        <v>-730.7462686567164</v>
      </c>
      <c r="D23" s="75">
        <f>IF(Inputs!B56&gt;0,Inputs!A56*0.22/12,0)</f>
        <v>458.3333333333333</v>
      </c>
      <c r="E23" s="75">
        <f>IFERROR(ROUNDUP(Inputs!B56/C23,0),0)</f>
        <v>-37</v>
      </c>
    </row>
    <row r="24" spans="1:52">
      <c r="A24" s="46">
        <f>Inputs!A57</f>
        <v>672000</v>
      </c>
      <c r="B24" s="46">
        <f>SUM(C24:D24)</f>
        <v>30391.88118811881</v>
      </c>
      <c r="C24" s="46">
        <f>IF(Inputs!B57&gt;0,(Inputs!A57-Inputs!B57)/(DATE(YEAR(Inputs!$B$76),MONTH(Inputs!$B$76),DAY(Inputs!$B$76))-DATE(YEAR(Inputs!C57),MONTH(Inputs!C57),DAY(Inputs!C57)))*30,0)</f>
        <v>18071.88118811881</v>
      </c>
      <c r="D24" s="46">
        <f>IF(Inputs!B57&gt;0,Inputs!A57*0.22/12,0)</f>
        <v>12320</v>
      </c>
      <c r="E24" s="46">
        <f>IFERROR(ROUNDUP(Inputs!B57/B24,0),0)</f>
        <v>15</v>
      </c>
      <c r="H24" s="1"/>
    </row>
    <row r="25" spans="1:52">
      <c r="A25" s="46">
        <f>Inputs!A58</f>
        <v>200000</v>
      </c>
      <c r="B25" s="46">
        <f>SUM(C25:D25)</f>
        <v>2949.992036948559</v>
      </c>
      <c r="C25" s="46">
        <f>IF(Inputs!B58&gt;0,(Inputs!A58-Inputs!B58)/(DATE(YEAR(Inputs!$B$76),MONTH(Inputs!$B$76),DAY(Inputs!$B$76))-DATE(YEAR(Inputs!C58),MONTH(Inputs!C58),DAY(Inputs!C58)))*30,0)</f>
        <v>-716.674629718108</v>
      </c>
      <c r="D25" s="46">
        <f>IF(Inputs!B58&gt;0,Inputs!A58*0.22/12,0)</f>
        <v>3666.666666666667</v>
      </c>
      <c r="E25" s="46">
        <f>IFERROR(ROUNDUP(Inputs!B58/B25,0),0)</f>
        <v>51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43011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43009</v>
      </c>
      <c r="F33" t="s">
        <v>163</v>
      </c>
      <c r="G33" s="128">
        <f>IF(Inputs!B79="","",DATE(YEAR(Inputs!B79),MONTH(Inputs!B79),DAY(Inputs!B79)))</f>
        <v>42972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43042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43040</v>
      </c>
      <c r="F34" t="s">
        <v>165</v>
      </c>
      <c r="G34" s="128">
        <f>IF(Inputs!B80="","",DATE(YEAR(Inputs!B80),MONTH(Inputs!B80),DAY(Inputs!B80)))</f>
        <v>43011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43072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43070</v>
      </c>
      <c r="F35" t="s">
        <v>167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43103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43101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43134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43132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43162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43160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43193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43191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43223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43221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43254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43252</v>
      </c>
      <c r="F41" t="s">
        <v>231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43284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43282</v>
      </c>
      <c r="F42" t="s">
        <v>232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43315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43346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98</v>
      </c>
      <c r="B41" s="191" t="s">
        <v>317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319</v>
      </c>
      <c r="H52" s="12" t="s">
        <v>320</v>
      </c>
      <c r="I52" s="12" t="s">
        <v>127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233</v>
      </c>
      <c r="E53" s="10" t="s">
        <v>192</v>
      </c>
      <c r="F53" s="10" t="s">
        <v>252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317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317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317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317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317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317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317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170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229</v>
      </c>
      <c r="J76" s="11" t="s">
        <v>353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317</v>
      </c>
      <c r="F77" s="12" t="s">
        <v>317</v>
      </c>
      <c r="G77" s="12" t="s">
        <v>355</v>
      </c>
      <c r="H77" s="12" t="s">
        <v>320</v>
      </c>
      <c r="I77" s="12" t="s">
        <v>356</v>
      </c>
      <c r="J77" s="136" t="s">
        <v>357</v>
      </c>
      <c r="K77" s="12" t="s">
        <v>317</v>
      </c>
      <c r="AJ77" s="12"/>
    </row>
    <row r="78" spans="1:36">
      <c r="A78" t="s">
        <v>317</v>
      </c>
      <c r="B78" s="176">
        <v>5</v>
      </c>
      <c r="C78" s="134" t="s">
        <v>358</v>
      </c>
      <c r="D78" s="133"/>
      <c r="E78" s="12" t="s">
        <v>359</v>
      </c>
      <c r="F78" s="12" t="s">
        <v>360</v>
      </c>
      <c r="G78" s="12" t="s">
        <v>361</v>
      </c>
      <c r="H78" s="12" t="s">
        <v>127</v>
      </c>
      <c r="I78" s="12" t="s">
        <v>362</v>
      </c>
      <c r="J78" s="70" t="s">
        <v>363</v>
      </c>
      <c r="K78" s="12" t="s">
        <v>317</v>
      </c>
      <c r="AJ78" s="12"/>
    </row>
    <row r="79" spans="1:36">
      <c r="B79" s="176">
        <v>10</v>
      </c>
      <c r="C79" s="12" t="s">
        <v>96</v>
      </c>
      <c r="D79" s="12">
        <v>1</v>
      </c>
      <c r="E79" s="12" t="s">
        <v>364</v>
      </c>
      <c r="F79" s="12" t="s">
        <v>365</v>
      </c>
      <c r="G79" s="12" t="s">
        <v>366</v>
      </c>
      <c r="I79" s="12" t="s">
        <v>170</v>
      </c>
      <c r="J79" s="70" t="s">
        <v>367</v>
      </c>
      <c r="K79" s="12" t="s">
        <v>317</v>
      </c>
      <c r="AJ79" s="12"/>
    </row>
    <row r="80" spans="1:36">
      <c r="B80" s="176">
        <v>20</v>
      </c>
      <c r="C80" s="12" t="s">
        <v>368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156</v>
      </c>
      <c r="D83" s="12">
        <f>D82+1</f>
        <v>5</v>
      </c>
    </row>
    <row r="84" spans="1:36">
      <c r="B84" s="176">
        <v>60</v>
      </c>
      <c r="C84" s="12" t="s">
        <v>155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