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<sst xmlns="http://schemas.openxmlformats.org/spreadsheetml/2006/main" uniqueCount="376">
  <si>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</si>
  <si>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</si>
  <si>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</si>
  <si>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</si>
  <si>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</si>
  <si>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</si>
  <si>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</si>
  <si>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</si>
  <si>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</si>
  <si>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</si>
  <si>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</si>
  <si>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</si>
  <si>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</si>
  <si>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</si>
  <si>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</si>
  <si>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</si>
  <si>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</si>
  <si>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</si>
  <si>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</si>
  <si>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</si>
  <si>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</si>
  <si>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</si>
  <si>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</si>
  <si>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</si>
  <si>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</si>
  <si>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</si>
  <si>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</si>
  <si>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</si>
  <si>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</si>
  <si>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</si>
  <si>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</si>
  <si>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</si>
  <si>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</si>
  <si>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</si>
  <si>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</si>
  <si>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</si>
  <si>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</si>
  <si>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</si>
  <si>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</si>
  <si>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</si>
  <si>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</si>
  <si>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</si>
  <si>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</si>
  <si>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</si>
  <si>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</si>
  <si>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</si>
  <si>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</si>
  <si>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</si>
  <si>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</si>
  <si>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</si>
  <si>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</si>
  <si>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</si>
  <si>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</si>
  <si>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</si>
  <si>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</si>
  <si>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</si>
  <si>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</si>
  <si>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</si>
  <si>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</si>
  <si>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</si>
  <si>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</si>
  <si>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</si>
  <si>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</si>
  <si>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</si>
  <si>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</si>
  <si>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</si>
  <si>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</si>
  <si>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</si>
  <si>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</si>
  <si>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</si>
  <si>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</si>
  <si>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</si>
  <si>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</si>
  <si>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</si>
  <si>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</si>
  <si>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</si>
  <si>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</si>
  <si>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</si>
  <si>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</si>
  <si>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</si>
  <si>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</si>
  <si>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</si>
  <si>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</si>
  <si>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</si>
  <si>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</si>
  <si>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</si>
  <si>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</si>
  <si>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</si>
  <si>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</si>
  <si>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</si>
  <si>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</si>
  <si>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</si>
  <si>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</si>
  <si>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</si>
  <si>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</si>
  <si>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</si>
  <si>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</si>
  <si>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</si>
  <si>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</si>
  <si>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</si>
  <si>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</si>
  <si>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</si>
  <si>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</si>
  <si>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</si>
  <si>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</si>
  <si>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Chicken_layers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</si>
  <si>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</si>
  <si>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</si>
  <si>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</si>
  <si>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</si>
  <si>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</si>
  <si>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Teaching and transport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</si>
  <si>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</si>
  <si>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</si>
  <si>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</si>
  <si>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</si>
  <si>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</si>
  <si>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</si>
  <si>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</si>
  <si>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</si>
  <si>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</si>
  <si>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</si>
  <si>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</si>
  <si>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</si>
  <si>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</si>
  <si>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</si>
  <si>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</si>
  <si>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</si>
  <si>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</si>
  <si>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</si>
  <si>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</si>
  <si>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</si>
  <si>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</si>
  <si>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</si>
  <si>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</si>
  <si>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</si>
  <si>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</si>
  <si>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</si>
  <si>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</si>
  <si>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12/2/2015</t>
  </si>
  <si>
    <t xml:space="preserve">Kwft bank </t>
  </si>
  <si>
    <t xml:space="preserve">cleared </t>
  </si>
  <si>
    <t>8/24/2013</t>
  </si>
  <si>
    <t>11/17/2016</t>
  </si>
  <si>
    <t xml:space="preserve">kwft bank </t>
  </si>
  <si>
    <t>8/19/2014</t>
  </si>
  <si>
    <t>6/24/2017</t>
  </si>
  <si>
    <t xml:space="preserve"> Kwft bank </t>
  </si>
  <si>
    <t>Well serviced</t>
  </si>
  <si>
    <t>Mpesa &amp; bank cash flows (from past statements)</t>
  </si>
  <si>
    <t>Cash inflows</t>
  </si>
  <si>
    <t>Cash outflows</t>
  </si>
  <si>
    <t>July</t>
  </si>
  <si>
    <t>June</t>
  </si>
  <si>
    <t>May</t>
  </si>
  <si>
    <t>April</t>
  </si>
  <si>
    <t>March</t>
  </si>
  <si>
    <t>February</t>
  </si>
  <si>
    <t>Loan info</t>
  </si>
  <si>
    <t>Branch ID</t>
  </si>
  <si>
    <t>Submission date</t>
  </si>
  <si>
    <t>2017/8/24</t>
  </si>
  <si>
    <t>Loan terms</t>
  </si>
  <si>
    <t>Expected disbursement date</t>
  </si>
  <si>
    <t>2017/9/1</t>
  </si>
  <si>
    <t>Expected first repayment date</t>
  </si>
  <si>
    <t>2017/11/1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</si>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</sst>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Chicken_layers, Chicken_broilers, Chicken: sale of ex layers</v>
      </c>
    </row>
    <row r="8" spans="1:7">
      <c r="B8" s="1" t="s">
        <v>4</v>
      </c>
      <c r="C8" t="str">
        <f>IF(Inputs!B29="","None",Inputs!B29)</f>
        <v>Teaching and transport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0.1604829612042497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2017</v>
      </c>
    </row>
    <row r="13" spans="1:7">
      <c r="B13" s="1" t="s">
        <v>8</v>
      </c>
      <c r="C13" s="67">
        <f>IFERROR(Output!B107/Output!B101,"")</f>
        <v>0.06108897742363878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759321.5187969923</v>
      </c>
    </row>
    <row r="18" spans="1:7">
      <c r="B18" s="1" t="s">
        <v>12</v>
      </c>
      <c r="C18" s="36">
        <f>MIN(Output!B6:M6)</f>
        <v>53130.68667570566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70764.29323308269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80000</v>
      </c>
    </row>
    <row r="25" spans="1:7">
      <c r="B25" s="1" t="s">
        <v>18</v>
      </c>
      <c r="C25" s="36">
        <f>MAX(Inputs!A56:A60)</f>
        <v>90000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61737.24405275483</v>
      </c>
      <c r="C6" s="51">
        <f>C30-C88</f>
        <v>61737.24405275483</v>
      </c>
      <c r="D6" s="51">
        <f>D30-D88</f>
        <v>61737.24405275483</v>
      </c>
      <c r="E6" s="51">
        <f>E30-E88</f>
        <v>61737.24405275483</v>
      </c>
      <c r="F6" s="51">
        <f>F30-F88</f>
        <v>61737.24405275483</v>
      </c>
      <c r="G6" s="51">
        <f>G30-G88</f>
        <v>61737.24405275483</v>
      </c>
      <c r="H6" s="51">
        <f>H30-H88</f>
        <v>61737.24405275483</v>
      </c>
      <c r="I6" s="51">
        <f>I30-I88</f>
        <v>61737.24405275483</v>
      </c>
      <c r="J6" s="51">
        <f>J30-J88</f>
        <v>53130.68667570566</v>
      </c>
      <c r="K6" s="51">
        <f>K30-K88</f>
        <v>70764.29323308269</v>
      </c>
      <c r="L6" s="51">
        <f>L30-L88</f>
        <v>70764.29323308269</v>
      </c>
      <c r="M6" s="51">
        <f>M30-M88</f>
        <v>70764.29323308269</v>
      </c>
      <c r="N6" s="51">
        <f>N30-N88</f>
        <v>70764.29323308269</v>
      </c>
      <c r="O6" s="51">
        <f>O30-O88</f>
        <v>70764.29323308269</v>
      </c>
      <c r="P6" s="51">
        <f>P30-P88</f>
        <v>70764.29323308269</v>
      </c>
      <c r="Q6" s="51">
        <f>Q30-Q88</f>
        <v>70764.29323308269</v>
      </c>
      <c r="R6" s="51">
        <f>R30-R88</f>
        <v>70764.29323308269</v>
      </c>
      <c r="S6" s="51">
        <f>S30-S88</f>
        <v>119514.2932330827</v>
      </c>
      <c r="T6" s="51">
        <f>T30-T88</f>
        <v>70764.29323308269</v>
      </c>
      <c r="U6" s="51">
        <f>U30-U88</f>
        <v>70764.29323308269</v>
      </c>
      <c r="V6" s="51">
        <f>V30-V88</f>
        <v>70764.29323308269</v>
      </c>
      <c r="W6" s="51">
        <f>W30-W88</f>
        <v>70764.29323308269</v>
      </c>
      <c r="X6" s="51">
        <f>X30-X88</f>
        <v>70764.29323308269</v>
      </c>
      <c r="Y6" s="51">
        <f>Y30-Y88</f>
        <v>70764.29323308269</v>
      </c>
      <c r="Z6" s="51">
        <f>SUMIF($B$13:$Y$13,"Yes",B6:Y6)</f>
        <v>971614.3984962401</v>
      </c>
      <c r="AA6" s="51">
        <f>AA30-AA88</f>
        <v>759321.5187969923</v>
      </c>
      <c r="AB6" s="51">
        <f>AB30-AB88</f>
        <v>1657243.037593984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22649</v>
      </c>
      <c r="I7" s="80">
        <f>IF(ISERROR(VLOOKUP(MONTH(I5),Inputs!$D$66:$D$71,1,0)),"",INDEX(Inputs!$B$66:$B$71,MATCH(MONTH(Output!I5),Inputs!$D$66:$D$71,0))-INDEX(Inputs!$C$66:$C$71,MATCH(MONTH(Output!I5),Inputs!$D$66:$D$71,0)))</f>
        <v>33707</v>
      </c>
      <c r="J7" s="80">
        <f>IF(ISERROR(VLOOKUP(MONTH(J5),Inputs!$D$66:$D$71,1,0)),"",INDEX(Inputs!$B$66:$B$71,MATCH(MONTH(Output!J5),Inputs!$D$66:$D$71,0))-INDEX(Inputs!$C$66:$C$71,MATCH(MONTH(Output!J5),Inputs!$D$66:$D$71,0)))</f>
        <v>22710</v>
      </c>
      <c r="K7" s="80">
        <f>IF(ISERROR(VLOOKUP(MONTH(K5),Inputs!$D$66:$D$71,1,0)),"",INDEX(Inputs!$B$66:$B$71,MATCH(MONTH(Output!K5),Inputs!$D$66:$D$71,0))-INDEX(Inputs!$C$66:$C$71,MATCH(MONTH(Output!K5),Inputs!$D$66:$D$71,0)))</f>
        <v>27000</v>
      </c>
      <c r="L7" s="80">
        <f>IF(ISERROR(VLOOKUP(MONTH(L5),Inputs!$D$66:$D$71,1,0)),"",INDEX(Inputs!$B$66:$B$71,MATCH(MONTH(Output!L5),Inputs!$D$66:$D$71,0))-INDEX(Inputs!$C$66:$C$71,MATCH(MONTH(Output!L5),Inputs!$D$66:$D$71,0)))</f>
        <v>13905</v>
      </c>
      <c r="M7" s="80">
        <f>IF(ISERROR(VLOOKUP(MONTH(M5),Inputs!$D$66:$D$71,1,0)),"",INDEX(Inputs!$B$66:$B$71,MATCH(MONTH(Output!M5),Inputs!$D$66:$D$71,0))-INDEX(Inputs!$C$66:$C$71,MATCH(MONTH(Output!M5),Inputs!$D$66:$D$71,0)))</f>
        <v>22769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22649</v>
      </c>
      <c r="U7" s="80">
        <f>IF(ISERROR(VLOOKUP(MONTH(U5),Inputs!$D$66:$D$71,1,0)),"",INDEX(Inputs!$B$66:$B$71,MATCH(MONTH(Output!U5),Inputs!$D$66:$D$71,0))-INDEX(Inputs!$C$66:$C$71,MATCH(MONTH(Output!U5),Inputs!$D$66:$D$71,0)))</f>
        <v>33707</v>
      </c>
      <c r="V7" s="80">
        <f>IF(ISERROR(VLOOKUP(MONTH(V5),Inputs!$D$66:$D$71,1,0)),"",INDEX(Inputs!$B$66:$B$71,MATCH(MONTH(Output!V5),Inputs!$D$66:$D$71,0))-INDEX(Inputs!$C$66:$C$71,MATCH(MONTH(Output!V5),Inputs!$D$66:$D$71,0)))</f>
        <v>22710</v>
      </c>
      <c r="W7" s="80">
        <f>IF(ISERROR(VLOOKUP(MONTH(W5),Inputs!$D$66:$D$71,1,0)),"",INDEX(Inputs!$B$66:$B$71,MATCH(MONTH(Output!W5),Inputs!$D$66:$D$71,0))-INDEX(Inputs!$C$66:$C$71,MATCH(MONTH(Output!W5),Inputs!$D$66:$D$71,0)))</f>
        <v>27000</v>
      </c>
      <c r="X7" s="80">
        <f>IF(ISERROR(VLOOKUP(MONTH(X5),Inputs!$D$66:$D$71,1,0)),"",INDEX(Inputs!$B$66:$B$71,MATCH(MONTH(Output!X5),Inputs!$D$66:$D$71,0))-INDEX(Inputs!$C$66:$C$71,MATCH(MONTH(Output!X5),Inputs!$D$66:$D$71,0)))</f>
        <v>13905</v>
      </c>
      <c r="Y7" s="80">
        <f>IF(ISERROR(VLOOKUP(MONTH(Y5),Inputs!$D$66:$D$71,1,0)),"",INDEX(Inputs!$B$66:$B$71,MATCH(MONTH(Output!Y5),Inputs!$D$66:$D$71,0))-INDEX(Inputs!$C$66:$C$71,MATCH(MONTH(Output!Y5),Inputs!$D$66:$D$71,0)))</f>
        <v>22769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0</v>
      </c>
      <c r="C9" s="75">
        <f>IFERROR(IF(AND(MONTH(C5)=MONTH(Calculations!$G$33),YEAR(C5)=YEAR(Calculations!$G$33)),Calculations!$G$35,0),0)</f>
        <v>150000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15000</v>
      </c>
      <c r="P10" s="37">
        <f>SUMPRODUCT((Calculations!$D$33:$D$84=Output!P5)+0,Calculations!$C$33:$C$84)</f>
        <v>15000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135000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61737.24405275483</v>
      </c>
      <c r="C11" s="80">
        <f>C6+C9-C10</f>
        <v>211737.2440527548</v>
      </c>
      <c r="D11" s="80">
        <f>D6+D9-D10</f>
        <v>61737.24405275483</v>
      </c>
      <c r="E11" s="80">
        <f>E6+E9-E10</f>
        <v>46737.24405275483</v>
      </c>
      <c r="F11" s="80">
        <f>F6+F9-F10</f>
        <v>46737.24405275483</v>
      </c>
      <c r="G11" s="80">
        <f>G6+G9-G10</f>
        <v>46737.24405275483</v>
      </c>
      <c r="H11" s="80">
        <f>H6+H9-H10</f>
        <v>46737.24405275483</v>
      </c>
      <c r="I11" s="80">
        <f>I6+I9-I10</f>
        <v>46737.24405275483</v>
      </c>
      <c r="J11" s="80">
        <f>J6+J9-J10</f>
        <v>38130.68667570566</v>
      </c>
      <c r="K11" s="80">
        <f>K6+K9-K10</f>
        <v>55764.29323308269</v>
      </c>
      <c r="L11" s="80">
        <f>L6+L9-L10</f>
        <v>55764.29323308269</v>
      </c>
      <c r="M11" s="80">
        <f>M6+M9-M10</f>
        <v>55764.29323308269</v>
      </c>
      <c r="N11" s="80">
        <f>N6+N9-N10</f>
        <v>55764.29323308269</v>
      </c>
      <c r="O11" s="80">
        <f>O6+O9-O10</f>
        <v>55764.29323308269</v>
      </c>
      <c r="P11" s="80">
        <f>P6+P9-P10</f>
        <v>55764.29323308269</v>
      </c>
      <c r="Q11" s="80">
        <f>Q6+Q9-Q10</f>
        <v>70764.29323308269</v>
      </c>
      <c r="R11" s="80">
        <f>R6+R9-R10</f>
        <v>70764.29323308269</v>
      </c>
      <c r="S11" s="80">
        <f>S6+S9-S10</f>
        <v>119514.2932330827</v>
      </c>
      <c r="T11" s="80">
        <f>T6+T9-T10</f>
        <v>70764.29323308269</v>
      </c>
      <c r="U11" s="80">
        <f>U6+U9-U10</f>
        <v>70764.29323308269</v>
      </c>
      <c r="V11" s="80">
        <f>V6+V9-V10</f>
        <v>70764.29323308269</v>
      </c>
      <c r="W11" s="80">
        <f>W6+W9-W10</f>
        <v>70764.29323308269</v>
      </c>
      <c r="X11" s="80">
        <f>X6+X9-X10</f>
        <v>70764.29323308269</v>
      </c>
      <c r="Y11" s="80">
        <f>Y6+Y9-Y10</f>
        <v>70764.29323308269</v>
      </c>
      <c r="Z11" s="85">
        <f>SUMIF($B$13:$Y$13,"Yes",B11:Y11)</f>
        <v>941614.3984962401</v>
      </c>
      <c r="AA11" s="80">
        <f>SUM(B11:M11)</f>
        <v>774321.5187969923</v>
      </c>
      <c r="AB11" s="46">
        <f>SUM(B11:Y11)</f>
        <v>1627243.037593984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</v>
      </c>
      <c r="E12" s="82">
        <f>IF(E13="Yes",IF(SUM($B$10:E10)/(SUM($B$6:E6)+SUM($B$9:E9))&lt;0,999.99,SUM($B$10:E10)/(SUM($B$6:E6)+SUM($B$9:E9))),"")</f>
        <v>0.03778823198683841</v>
      </c>
      <c r="F12" s="82">
        <f>IF(F13="Yes",IF(SUM($B$10:F10)/(SUM($B$6:F6)+SUM($B$9:F9))&lt;0,999.99,SUM($B$10:F10)/(SUM($B$6:F6)+SUM($B$9:F9))),"")</f>
        <v>0.06540418847278226</v>
      </c>
      <c r="G12" s="82">
        <f>IF(G13="Yes",IF(SUM($B$10:G10)/(SUM($B$6:G6)+SUM($B$9:G9))&lt;0,999.99,SUM($B$10:G10)/(SUM($B$6:G6)+SUM($B$9:G9))),"")</f>
        <v>0.08646804590007948</v>
      </c>
      <c r="H12" s="82">
        <f>IF(H13="Yes",IF(SUM($B$10:H10)/(SUM($B$6:H6)+SUM($B$9:H9))&lt;0,999.99,SUM($B$10:H10)/(SUM($B$6:H6)+SUM($B$9:H9))),"")</f>
        <v>0.1030643242277011</v>
      </c>
      <c r="I12" s="82">
        <f>IF(I13="Yes",IF(SUM($B$10:I10)/(SUM($B$6:I6)+SUM($B$9:I9))&lt;0,999.99,SUM($B$10:I10)/(SUM($B$6:I6)+SUM($B$9:I9))),"")</f>
        <v>0.1164780843266943</v>
      </c>
      <c r="J12" s="82">
        <f>IF(J13="Yes",IF(SUM($B$10:J10)/(SUM($B$6:J6)+SUM($B$9:J9))&lt;0,999.99,SUM($B$10:J10)/(SUM($B$6:J6)+SUM($B$9:J9))),"")</f>
        <v>0.129119515256215</v>
      </c>
      <c r="K12" s="82">
        <f>IF(K13="Yes",IF(SUM($B$10:K10)/(SUM($B$6:K6)+SUM($B$9:K9))&lt;0,999.99,SUM($B$10:K10)/(SUM($B$6:K6)+SUM($B$9:K9))),"")</f>
        <v>0.1367556219633936</v>
      </c>
      <c r="L12" s="82">
        <f>IF(L13="Yes",IF(SUM($B$10:L10)/(SUM($B$6:L6)+SUM($B$9:L9))&lt;0,999.99,SUM($B$10:L10)/(SUM($B$6:L6)+SUM($B$9:L9))),"")</f>
        <v>0.1431029348286909</v>
      </c>
      <c r="M12" s="82">
        <f>IF(M13="Yes",IF(SUM($B$10:M10)/(SUM($B$6:M6)+SUM($B$9:M9))&lt;0,999.99,SUM($B$10:M10)/(SUM($B$6:M6)+SUM($B$9:M9))),"")</f>
        <v>0.1484623394578865</v>
      </c>
      <c r="N12" s="82">
        <f>IF(N13="Yes",IF(SUM($B$10:N10)/(SUM($B$6:N6)+SUM($B$9:N9))&lt;0,999.99,SUM($B$10:N10)/(SUM($B$6:N6)+SUM($B$9:N9))),"")</f>
        <v>0.1530478231179589</v>
      </c>
      <c r="O12" s="82">
        <f>IF(O13="Yes",IF(SUM($B$10:O10)/(SUM($B$6:O6)+SUM($B$9:O9))&lt;0,999.99,SUM($B$10:O10)/(SUM($B$6:O6)+SUM($B$9:O9))),"")</f>
        <v>0.1570157334272523</v>
      </c>
      <c r="P12" s="82">
        <f>IF(P13="Yes",IF(SUM($B$10:P10)/(SUM($B$6:P6)+SUM($B$9:P9))&lt;0,999.99,SUM($B$10:P10)/(SUM($B$6:P6)+SUM($B$9:P9))),"")</f>
        <v>0.1604829612042497</v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101165.4135338345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718593.75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28244.04761904761</v>
      </c>
      <c r="C25" s="36">
        <f>IFERROR(Calculations!$P15/12,"")</f>
        <v>28244.04761904761</v>
      </c>
      <c r="D25" s="36">
        <f>IFERROR(Calculations!$P15/12,"")</f>
        <v>28244.04761904761</v>
      </c>
      <c r="E25" s="36">
        <f>IFERROR(Calculations!$P15/12,"")</f>
        <v>28244.04761904761</v>
      </c>
      <c r="F25" s="36">
        <f>IFERROR(Calculations!$P15/12,"")</f>
        <v>28244.04761904761</v>
      </c>
      <c r="G25" s="36">
        <f>IFERROR(Calculations!$P15/12,"")</f>
        <v>28244.04761904761</v>
      </c>
      <c r="H25" s="36">
        <f>IFERROR(Calculations!$P15/12,"")</f>
        <v>28244.04761904761</v>
      </c>
      <c r="I25" s="36">
        <f>IFERROR(Calculations!$P15/12,"")</f>
        <v>28244.04761904761</v>
      </c>
      <c r="J25" s="36">
        <f>IFERROR(Calculations!$P15/12,"")</f>
        <v>28244.04761904761</v>
      </c>
      <c r="K25" s="36">
        <f>IFERROR(Calculations!$P15/12,"")</f>
        <v>28244.04761904761</v>
      </c>
      <c r="L25" s="36">
        <f>IFERROR(Calculations!$P15/12,"")</f>
        <v>28244.04761904761</v>
      </c>
      <c r="M25" s="36">
        <f>IFERROR(Calculations!$P15/12,"")</f>
        <v>28244.04761904761</v>
      </c>
      <c r="N25" s="36">
        <f>IFERROR(Calculations!$P15/12,"")</f>
        <v>28244.04761904761</v>
      </c>
      <c r="O25" s="36">
        <f>IFERROR(Calculations!$P15/12,"")</f>
        <v>28244.04761904761</v>
      </c>
      <c r="P25" s="36">
        <f>IFERROR(Calculations!$P15/12,"")</f>
        <v>28244.04761904761</v>
      </c>
      <c r="Q25" s="36">
        <f>IFERROR(Calculations!$P15/12,"")</f>
        <v>28244.04761904761</v>
      </c>
      <c r="R25" s="36">
        <f>IFERROR(Calculations!$P15/12,"")</f>
        <v>28244.04761904761</v>
      </c>
      <c r="S25" s="36">
        <f>IFERROR(Calculations!$P15/12,"")</f>
        <v>28244.04761904761</v>
      </c>
      <c r="T25" s="36">
        <f>IFERROR(Calculations!$P15/12,"")</f>
        <v>28244.04761904761</v>
      </c>
      <c r="U25" s="36">
        <f>IFERROR(Calculations!$P15/12,"")</f>
        <v>28244.04761904761</v>
      </c>
      <c r="V25" s="36">
        <f>IFERROR(Calculations!$P15/12,"")</f>
        <v>28244.04761904761</v>
      </c>
      <c r="W25" s="36">
        <f>IFERROR(Calculations!$P15/12,"")</f>
        <v>28244.04761904761</v>
      </c>
      <c r="X25" s="36">
        <f>IFERROR(Calculations!$P15/12,"")</f>
        <v>28244.04761904761</v>
      </c>
      <c r="Y25" s="36">
        <f>IFERROR(Calculations!$P15/12,"")</f>
        <v>28244.04761904761</v>
      </c>
      <c r="Z25" s="36">
        <f>SUMIF($B$13:$Y$13,"Yes",B25:Y25)</f>
        <v>423660.7142857143</v>
      </c>
      <c r="AA25" s="36">
        <f>SUM(B25:M25)</f>
        <v>338928.5714285714</v>
      </c>
      <c r="AB25" s="46">
        <f>SUM(B25:Y25)</f>
        <v>677857.1428571426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48750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48750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60000</v>
      </c>
      <c r="C29" s="37">
        <f>Inputs!$B$30</f>
        <v>60000</v>
      </c>
      <c r="D29" s="37">
        <f>Inputs!$B$30</f>
        <v>60000</v>
      </c>
      <c r="E29" s="37">
        <f>Inputs!$B$30</f>
        <v>60000</v>
      </c>
      <c r="F29" s="37">
        <f>Inputs!$B$30</f>
        <v>60000</v>
      </c>
      <c r="G29" s="37">
        <f>Inputs!$B$30</f>
        <v>60000</v>
      </c>
      <c r="H29" s="37">
        <f>Inputs!$B$30</f>
        <v>60000</v>
      </c>
      <c r="I29" s="37">
        <f>Inputs!$B$30</f>
        <v>60000</v>
      </c>
      <c r="J29" s="37">
        <f>Inputs!$B$30</f>
        <v>60000</v>
      </c>
      <c r="K29" s="37">
        <f>Inputs!$B$30</f>
        <v>60000</v>
      </c>
      <c r="L29" s="37">
        <f>Inputs!$B$30</f>
        <v>60000</v>
      </c>
      <c r="M29" s="37">
        <f>Inputs!$B$30</f>
        <v>60000</v>
      </c>
      <c r="N29" s="37">
        <f>Inputs!$B$30</f>
        <v>60000</v>
      </c>
      <c r="O29" s="37">
        <f>Inputs!$B$30</f>
        <v>60000</v>
      </c>
      <c r="P29" s="37">
        <f>Inputs!$B$30</f>
        <v>60000</v>
      </c>
      <c r="Q29" s="37">
        <f>Inputs!$B$30</f>
        <v>60000</v>
      </c>
      <c r="R29" s="37">
        <f>Inputs!$B$30</f>
        <v>60000</v>
      </c>
      <c r="S29" s="37">
        <f>Inputs!$B$30</f>
        <v>60000</v>
      </c>
      <c r="T29" s="37">
        <f>Inputs!$B$30</f>
        <v>60000</v>
      </c>
      <c r="U29" s="37">
        <f>Inputs!$B$30</f>
        <v>60000</v>
      </c>
      <c r="V29" s="37">
        <f>Inputs!$B$30</f>
        <v>60000</v>
      </c>
      <c r="W29" s="37">
        <f>Inputs!$B$30</f>
        <v>60000</v>
      </c>
      <c r="X29" s="37">
        <f>Inputs!$B$30</f>
        <v>60000</v>
      </c>
      <c r="Y29" s="37">
        <f>Inputs!$B$30</f>
        <v>60000</v>
      </c>
      <c r="Z29" s="37">
        <f>SUMIF($B$13:$Y$13,"Yes",B29:Y29)</f>
        <v>900000</v>
      </c>
      <c r="AA29" s="37">
        <f>SUM(B29:M29)</f>
        <v>720000</v>
      </c>
      <c r="AB29" s="37">
        <f>SUM(B29:Y29)</f>
        <v>1440000</v>
      </c>
    </row>
    <row r="30" spans="1:30" customHeight="1" ht="15.75">
      <c r="A30" s="1" t="s">
        <v>37</v>
      </c>
      <c r="B30" s="19">
        <f>SUM(B18:B29)</f>
        <v>136150.2976190476</v>
      </c>
      <c r="C30" s="19">
        <f>SUM(C18:C29)</f>
        <v>136150.2976190476</v>
      </c>
      <c r="D30" s="19">
        <f>SUM(D18:D29)</f>
        <v>136150.2976190476</v>
      </c>
      <c r="E30" s="19">
        <f>SUM(E18:E29)</f>
        <v>136150.2976190476</v>
      </c>
      <c r="F30" s="19">
        <f>SUM(F18:F29)</f>
        <v>136150.2976190476</v>
      </c>
      <c r="G30" s="19">
        <f>SUM(G18:G29)</f>
        <v>136150.2976190476</v>
      </c>
      <c r="H30" s="19">
        <f>SUM(H18:H29)</f>
        <v>136150.2976190476</v>
      </c>
      <c r="I30" s="19">
        <f>SUM(I18:I29)</f>
        <v>136150.2976190476</v>
      </c>
      <c r="J30" s="19">
        <f>SUM(J18:J29)</f>
        <v>136150.2976190476</v>
      </c>
      <c r="K30" s="19">
        <f>SUM(K18:K29)</f>
        <v>136150.2976190476</v>
      </c>
      <c r="L30" s="19">
        <f>SUM(L18:L29)</f>
        <v>136150.2976190476</v>
      </c>
      <c r="M30" s="19">
        <f>SUM(M18:M29)</f>
        <v>136150.2976190476</v>
      </c>
      <c r="N30" s="19">
        <f>SUM(N18:N29)</f>
        <v>136150.2976190476</v>
      </c>
      <c r="O30" s="19">
        <f>SUM(O18:O29)</f>
        <v>136150.2976190476</v>
      </c>
      <c r="P30" s="19">
        <f>SUM(P18:P29)</f>
        <v>136150.2976190476</v>
      </c>
      <c r="Q30" s="19">
        <f>SUM(Q18:Q29)</f>
        <v>136150.2976190476</v>
      </c>
      <c r="R30" s="19">
        <f>SUM(R18:R29)</f>
        <v>136150.2976190476</v>
      </c>
      <c r="S30" s="19">
        <f>SUM(S18:S29)</f>
        <v>184900.2976190476</v>
      </c>
      <c r="T30" s="19">
        <f>SUM(T18:T29)</f>
        <v>136150.2976190476</v>
      </c>
      <c r="U30" s="19">
        <f>SUM(U18:U29)</f>
        <v>136150.2976190476</v>
      </c>
      <c r="V30" s="19">
        <f>SUM(V18:V29)</f>
        <v>136150.2976190476</v>
      </c>
      <c r="W30" s="19">
        <f>SUM(W18:W29)</f>
        <v>136150.2976190476</v>
      </c>
      <c r="X30" s="19">
        <f>SUM(X18:X29)</f>
        <v>136150.2976190476</v>
      </c>
      <c r="Y30" s="19">
        <f>SUM(Y18:Y29)</f>
        <v>136150.2976190476</v>
      </c>
      <c r="Z30" s="19">
        <f>SUMIF($B$13:$Y$13,"Yes",B30:Y30)</f>
        <v>2042254.464285714</v>
      </c>
      <c r="AA30" s="19">
        <f>SUM(B30:M30)</f>
        <v>1633803.571428571</v>
      </c>
      <c r="AB30" s="19">
        <f>SUM(B30:Y30)</f>
        <v>3316357.142857142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8364.583333333334</v>
      </c>
      <c r="C74" s="46">
        <f>SUM(Calculations!$Q$14:$Q$16)/12</f>
        <v>8364.583333333334</v>
      </c>
      <c r="D74" s="46">
        <f>SUM(Calculations!$Q$14:$Q$16)/12</f>
        <v>8364.583333333334</v>
      </c>
      <c r="E74" s="46">
        <f>SUM(Calculations!$Q$14:$Q$16)/12</f>
        <v>8364.583333333334</v>
      </c>
      <c r="F74" s="46">
        <f>SUM(Calculations!$Q$14:$Q$16)/12</f>
        <v>8364.583333333334</v>
      </c>
      <c r="G74" s="46">
        <f>SUM(Calculations!$Q$14:$Q$16)/12</f>
        <v>8364.583333333334</v>
      </c>
      <c r="H74" s="46">
        <f>SUM(Calculations!$Q$14:$Q$16)/12</f>
        <v>8364.583333333334</v>
      </c>
      <c r="I74" s="46">
        <f>SUM(Calculations!$Q$14:$Q$16)/12</f>
        <v>8364.583333333334</v>
      </c>
      <c r="J74" s="46">
        <f>SUM(Calculations!$Q$14:$Q$16)/12</f>
        <v>8364.583333333334</v>
      </c>
      <c r="K74" s="46">
        <f>SUM(Calculations!$Q$14:$Q$16)/12</f>
        <v>8364.583333333334</v>
      </c>
      <c r="L74" s="46">
        <f>SUM(Calculations!$Q$14:$Q$16)/12</f>
        <v>8364.583333333334</v>
      </c>
      <c r="M74" s="46">
        <f>SUM(Calculations!$Q$14:$Q$16)/12</f>
        <v>8364.583333333334</v>
      </c>
      <c r="N74" s="46">
        <f>SUM(Calculations!$Q$14:$Q$16)/12</f>
        <v>8364.583333333334</v>
      </c>
      <c r="O74" s="46">
        <f>SUM(Calculations!$Q$14:$Q$16)/12</f>
        <v>8364.583333333334</v>
      </c>
      <c r="P74" s="46">
        <f>SUM(Calculations!$Q$14:$Q$16)/12</f>
        <v>8364.583333333334</v>
      </c>
      <c r="Q74" s="46">
        <f>SUM(Calculations!$Q$14:$Q$16)/12</f>
        <v>8364.583333333334</v>
      </c>
      <c r="R74" s="46">
        <f>SUM(Calculations!$Q$14:$Q$16)/12</f>
        <v>8364.583333333334</v>
      </c>
      <c r="S74" s="46">
        <f>SUM(Calculations!$Q$14:$Q$16)/12</f>
        <v>8364.583333333334</v>
      </c>
      <c r="T74" s="46">
        <f>SUM(Calculations!$Q$14:$Q$16)/12</f>
        <v>8364.583333333334</v>
      </c>
      <c r="U74" s="46">
        <f>SUM(Calculations!$Q$14:$Q$16)/12</f>
        <v>8364.583333333334</v>
      </c>
      <c r="V74" s="46">
        <f>SUM(Calculations!$Q$14:$Q$16)/12</f>
        <v>8364.583333333334</v>
      </c>
      <c r="W74" s="46">
        <f>SUM(Calculations!$Q$14:$Q$16)/12</f>
        <v>8364.583333333334</v>
      </c>
      <c r="X74" s="46">
        <f>SUM(Calculations!$Q$14:$Q$16)/12</f>
        <v>8364.583333333334</v>
      </c>
      <c r="Y74" s="46">
        <f>SUM(Calculations!$Q$14:$Q$16)/12</f>
        <v>8364.583333333334</v>
      </c>
      <c r="Z74" s="46">
        <f>SUMIF($B$13:$Y$13,"Yes",B74:Y74)</f>
        <v>125468.75</v>
      </c>
      <c r="AA74" s="46">
        <f>SUM(B74:M74)</f>
        <v>100375</v>
      </c>
      <c r="AB74" s="46">
        <f>SUM(B74:Y74)</f>
        <v>200750.0000000001</v>
      </c>
    </row>
    <row r="75" spans="1:30">
      <c r="A75" s="16" t="s">
        <v>47</v>
      </c>
      <c r="B75" s="46">
        <f>SUM(Calculations!$R$14:$R$16)/12</f>
        <v>630</v>
      </c>
      <c r="C75" s="46">
        <f>SUM(Calculations!$R$14:$R$16)/12</f>
        <v>630</v>
      </c>
      <c r="D75" s="46">
        <f>SUM(Calculations!$R$14:$R$16)/12</f>
        <v>630</v>
      </c>
      <c r="E75" s="46">
        <f>SUM(Calculations!$R$14:$R$16)/12</f>
        <v>630</v>
      </c>
      <c r="F75" s="46">
        <f>SUM(Calculations!$R$14:$R$16)/12</f>
        <v>630</v>
      </c>
      <c r="G75" s="46">
        <f>SUM(Calculations!$R$14:$R$16)/12</f>
        <v>630</v>
      </c>
      <c r="H75" s="46">
        <f>SUM(Calculations!$R$14:$R$16)/12</f>
        <v>630</v>
      </c>
      <c r="I75" s="46">
        <f>SUM(Calculations!$R$14:$R$16)/12</f>
        <v>630</v>
      </c>
      <c r="J75" s="46">
        <f>SUM(Calculations!$R$14:$R$16)/12</f>
        <v>630</v>
      </c>
      <c r="K75" s="46">
        <f>SUM(Calculations!$R$14:$R$16)/12</f>
        <v>630</v>
      </c>
      <c r="L75" s="46">
        <f>SUM(Calculations!$R$14:$R$16)/12</f>
        <v>630</v>
      </c>
      <c r="M75" s="46">
        <f>SUM(Calculations!$R$14:$R$16)/12</f>
        <v>630</v>
      </c>
      <c r="N75" s="46">
        <f>SUM(Calculations!$R$14:$R$16)/12</f>
        <v>630</v>
      </c>
      <c r="O75" s="46">
        <f>SUM(Calculations!$R$14:$R$16)/12</f>
        <v>630</v>
      </c>
      <c r="P75" s="46">
        <f>SUM(Calculations!$R$14:$R$16)/12</f>
        <v>630</v>
      </c>
      <c r="Q75" s="46">
        <f>SUM(Calculations!$R$14:$R$16)/12</f>
        <v>630</v>
      </c>
      <c r="R75" s="46">
        <f>SUM(Calculations!$R$14:$R$16)/12</f>
        <v>630</v>
      </c>
      <c r="S75" s="46">
        <f>SUM(Calculations!$R$14:$R$16)/12</f>
        <v>630</v>
      </c>
      <c r="T75" s="46">
        <f>SUM(Calculations!$R$14:$R$16)/12</f>
        <v>630</v>
      </c>
      <c r="U75" s="46">
        <f>SUM(Calculations!$R$14:$R$16)/12</f>
        <v>630</v>
      </c>
      <c r="V75" s="46">
        <f>SUM(Calculations!$R$14:$R$16)/12</f>
        <v>630</v>
      </c>
      <c r="W75" s="46">
        <f>SUM(Calculations!$R$14:$R$16)/12</f>
        <v>630</v>
      </c>
      <c r="X75" s="46">
        <f>SUM(Calculations!$R$14:$R$16)/12</f>
        <v>630</v>
      </c>
      <c r="Y75" s="46">
        <f>SUM(Calculations!$R$14:$R$16)/12</f>
        <v>630</v>
      </c>
      <c r="Z75" s="46">
        <f>SUMIF($B$13:$Y$13,"Yes",B75:Y75)</f>
        <v>9450</v>
      </c>
      <c r="AA75" s="46">
        <f>SUM(B75:M75)</f>
        <v>7560</v>
      </c>
      <c r="AB75" s="46">
        <f>SUM(B75:Y75)</f>
        <v>15120</v>
      </c>
    </row>
    <row r="76" spans="1:30">
      <c r="A76" s="16" t="s">
        <v>48</v>
      </c>
      <c r="B76" s="46">
        <f>SUM(Calculations!$S$14:$S$16)/12</f>
        <v>4215.225563909774</v>
      </c>
      <c r="C76" s="46">
        <f>SUM(Calculations!$S$14:$S$16)/12</f>
        <v>4215.225563909774</v>
      </c>
      <c r="D76" s="46">
        <f>SUM(Calculations!$S$14:$S$16)/12</f>
        <v>4215.225563909774</v>
      </c>
      <c r="E76" s="46">
        <f>SUM(Calculations!$S$14:$S$16)/12</f>
        <v>4215.225563909774</v>
      </c>
      <c r="F76" s="46">
        <f>SUM(Calculations!$S$14:$S$16)/12</f>
        <v>4215.225563909774</v>
      </c>
      <c r="G76" s="46">
        <f>SUM(Calculations!$S$14:$S$16)/12</f>
        <v>4215.225563909774</v>
      </c>
      <c r="H76" s="46">
        <f>SUM(Calculations!$S$14:$S$16)/12</f>
        <v>4215.225563909774</v>
      </c>
      <c r="I76" s="46">
        <f>SUM(Calculations!$S$14:$S$16)/12</f>
        <v>4215.225563909774</v>
      </c>
      <c r="J76" s="46">
        <f>SUM(Calculations!$S$14:$S$16)/12</f>
        <v>4215.225563909774</v>
      </c>
      <c r="K76" s="46">
        <f>SUM(Calculations!$S$14:$S$16)/12</f>
        <v>4215.225563909774</v>
      </c>
      <c r="L76" s="46">
        <f>SUM(Calculations!$S$14:$S$16)/12</f>
        <v>4215.225563909774</v>
      </c>
      <c r="M76" s="46">
        <f>SUM(Calculations!$S$14:$S$16)/12</f>
        <v>4215.225563909774</v>
      </c>
      <c r="N76" s="46">
        <f>SUM(Calculations!$S$14:$S$16)/12</f>
        <v>4215.225563909774</v>
      </c>
      <c r="O76" s="46">
        <f>SUM(Calculations!$S$14:$S$16)/12</f>
        <v>4215.225563909774</v>
      </c>
      <c r="P76" s="46">
        <f>SUM(Calculations!$S$14:$S$16)/12</f>
        <v>4215.225563909774</v>
      </c>
      <c r="Q76" s="46">
        <f>SUM(Calculations!$S$14:$S$16)/12</f>
        <v>4215.225563909774</v>
      </c>
      <c r="R76" s="46">
        <f>SUM(Calculations!$S$14:$S$16)/12</f>
        <v>4215.225563909774</v>
      </c>
      <c r="S76" s="46">
        <f>SUM(Calculations!$S$14:$S$16)/12</f>
        <v>4215.225563909774</v>
      </c>
      <c r="T76" s="46">
        <f>SUM(Calculations!$S$14:$S$16)/12</f>
        <v>4215.225563909774</v>
      </c>
      <c r="U76" s="46">
        <f>SUM(Calculations!$S$14:$S$16)/12</f>
        <v>4215.225563909774</v>
      </c>
      <c r="V76" s="46">
        <f>SUM(Calculations!$S$14:$S$16)/12</f>
        <v>4215.225563909774</v>
      </c>
      <c r="W76" s="46">
        <f>SUM(Calculations!$S$14:$S$16)/12</f>
        <v>4215.225563909774</v>
      </c>
      <c r="X76" s="46">
        <f>SUM(Calculations!$S$14:$S$16)/12</f>
        <v>4215.225563909774</v>
      </c>
      <c r="Y76" s="46">
        <f>SUM(Calculations!$S$14:$S$16)/12</f>
        <v>4215.225563909774</v>
      </c>
      <c r="Z76" s="46">
        <f>SUMIF($B$13:$Y$13,"Yes",B76:Y76)</f>
        <v>63228.38345864659</v>
      </c>
      <c r="AA76" s="46">
        <f>SUM(B76:M76)</f>
        <v>50582.70676691728</v>
      </c>
      <c r="AB76" s="46">
        <f>SUM(B76:Y76)</f>
        <v>101165.4135338345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75000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47176.1954887218</v>
      </c>
      <c r="C81" s="46">
        <f>(SUM($AA$18:$AA$29)-SUM($AA$36,$AA$42,$AA$48,$AA$54,$AA$60,$AA$66,$AA$72:$AA$79))*Parameters!$B$37/12</f>
        <v>47176.1954887218</v>
      </c>
      <c r="D81" s="46">
        <f>(SUM($AA$18:$AA$29)-SUM($AA$36,$AA$42,$AA$48,$AA$54,$AA$60,$AA$66,$AA$72:$AA$79))*Parameters!$B$37/12</f>
        <v>47176.1954887218</v>
      </c>
      <c r="E81" s="46">
        <f>(SUM($AA$18:$AA$29)-SUM($AA$36,$AA$42,$AA$48,$AA$54,$AA$60,$AA$66,$AA$72:$AA$79))*Parameters!$B$37/12</f>
        <v>47176.1954887218</v>
      </c>
      <c r="F81" s="46">
        <f>(SUM($AA$18:$AA$29)-SUM($AA$36,$AA$42,$AA$48,$AA$54,$AA$60,$AA$66,$AA$72:$AA$79))*Parameters!$B$37/12</f>
        <v>47176.1954887218</v>
      </c>
      <c r="G81" s="46">
        <f>(SUM($AA$18:$AA$29)-SUM($AA$36,$AA$42,$AA$48,$AA$54,$AA$60,$AA$66,$AA$72:$AA$79))*Parameters!$B$37/12</f>
        <v>47176.1954887218</v>
      </c>
      <c r="H81" s="46">
        <f>(SUM($AA$18:$AA$29)-SUM($AA$36,$AA$42,$AA$48,$AA$54,$AA$60,$AA$66,$AA$72:$AA$79))*Parameters!$B$37/12</f>
        <v>47176.1954887218</v>
      </c>
      <c r="I81" s="46">
        <f>(SUM($AA$18:$AA$29)-SUM($AA$36,$AA$42,$AA$48,$AA$54,$AA$60,$AA$66,$AA$72:$AA$79))*Parameters!$B$37/12</f>
        <v>47176.1954887218</v>
      </c>
      <c r="J81" s="46">
        <f>(SUM($AA$18:$AA$29)-SUM($AA$36,$AA$42,$AA$48,$AA$54,$AA$60,$AA$66,$AA$72:$AA$79))*Parameters!$B$37/12</f>
        <v>47176.1954887218</v>
      </c>
      <c r="K81" s="46">
        <f>(SUM($AA$18:$AA$29)-SUM($AA$36,$AA$42,$AA$48,$AA$54,$AA$60,$AA$66,$AA$72:$AA$79))*Parameters!$B$37/12</f>
        <v>47176.1954887218</v>
      </c>
      <c r="L81" s="46">
        <f>(SUM($AA$18:$AA$29)-SUM($AA$36,$AA$42,$AA$48,$AA$54,$AA$60,$AA$66,$AA$72:$AA$79))*Parameters!$B$37/12</f>
        <v>47176.1954887218</v>
      </c>
      <c r="M81" s="46">
        <f>(SUM($AA$18:$AA$29)-SUM($AA$36,$AA$42,$AA$48,$AA$54,$AA$60,$AA$66,$AA$72:$AA$79))*Parameters!$B$37/12</f>
        <v>47176.1954887218</v>
      </c>
      <c r="N81" s="46">
        <f>(SUM($AA$18:$AA$29)-SUM($AA$36,$AA$42,$AA$48,$AA$54,$AA$60,$AA$66,$AA$72:$AA$79))*Parameters!$B$37/12</f>
        <v>47176.1954887218</v>
      </c>
      <c r="O81" s="46">
        <f>(SUM($AA$18:$AA$29)-SUM($AA$36,$AA$42,$AA$48,$AA$54,$AA$60,$AA$66,$AA$72:$AA$79))*Parameters!$B$37/12</f>
        <v>47176.1954887218</v>
      </c>
      <c r="P81" s="46">
        <f>(SUM($AA$18:$AA$29)-SUM($AA$36,$AA$42,$AA$48,$AA$54,$AA$60,$AA$66,$AA$72:$AA$79))*Parameters!$B$37/12</f>
        <v>47176.1954887218</v>
      </c>
      <c r="Q81" s="46">
        <f>(SUM($AA$18:$AA$29)-SUM($AA$36,$AA$42,$AA$48,$AA$54,$AA$60,$AA$66,$AA$72:$AA$79))*Parameters!$B$37/12</f>
        <v>47176.1954887218</v>
      </c>
      <c r="R81" s="46">
        <f>(SUM($AA$18:$AA$29)-SUM($AA$36,$AA$42,$AA$48,$AA$54,$AA$60,$AA$66,$AA$72:$AA$79))*Parameters!$B$37/12</f>
        <v>47176.1954887218</v>
      </c>
      <c r="S81" s="46">
        <f>(SUM($AA$18:$AA$29)-SUM($AA$36,$AA$42,$AA$48,$AA$54,$AA$60,$AA$66,$AA$72:$AA$79))*Parameters!$B$37/12</f>
        <v>47176.1954887218</v>
      </c>
      <c r="T81" s="46">
        <f>(SUM($AA$18:$AA$29)-SUM($AA$36,$AA$42,$AA$48,$AA$54,$AA$60,$AA$66,$AA$72:$AA$79))*Parameters!$B$37/12</f>
        <v>47176.1954887218</v>
      </c>
      <c r="U81" s="46">
        <f>(SUM($AA$18:$AA$29)-SUM($AA$36,$AA$42,$AA$48,$AA$54,$AA$60,$AA$66,$AA$72:$AA$79))*Parameters!$B$37/12</f>
        <v>47176.1954887218</v>
      </c>
      <c r="V81" s="46">
        <f>(SUM($AA$18:$AA$29)-SUM($AA$36,$AA$42,$AA$48,$AA$54,$AA$60,$AA$66,$AA$72:$AA$79))*Parameters!$B$37/12</f>
        <v>47176.1954887218</v>
      </c>
      <c r="W81" s="46">
        <f>(SUM($AA$18:$AA$29)-SUM($AA$36,$AA$42,$AA$48,$AA$54,$AA$60,$AA$66,$AA$72:$AA$79))*Parameters!$B$37/12</f>
        <v>47176.1954887218</v>
      </c>
      <c r="X81" s="46">
        <f>(SUM($AA$18:$AA$29)-SUM($AA$36,$AA$42,$AA$48,$AA$54,$AA$60,$AA$66,$AA$72:$AA$79))*Parameters!$B$37/12</f>
        <v>47176.1954887218</v>
      </c>
      <c r="Y81" s="46">
        <f>(SUM($AA$18:$AA$29)-SUM($AA$36,$AA$42,$AA$48,$AA$54,$AA$60,$AA$66,$AA$72:$AA$79))*Parameters!$B$37/12</f>
        <v>47176.1954887218</v>
      </c>
      <c r="Z81" s="46">
        <f>SUMIF($B$13:$Y$13,"Yes",B81:Y81)</f>
        <v>707642.9323308272</v>
      </c>
      <c r="AA81" s="46">
        <f>SUM(B81:M81)</f>
        <v>566114.3458646617</v>
      </c>
      <c r="AB81" s="46">
        <f>SUM(B81:Y81)</f>
        <v>1132228.691729324</v>
      </c>
    </row>
    <row r="82" spans="1:30">
      <c r="A82" s="16" t="s">
        <v>52</v>
      </c>
      <c r="B82" s="46">
        <f>SUM(B83:B87)</f>
        <v>9027.049180327869</v>
      </c>
      <c r="C82" s="46">
        <f>SUM(C83:C87)</f>
        <v>9027.049180327869</v>
      </c>
      <c r="D82" s="46">
        <f>SUM(D83:D87)</f>
        <v>9027.049180327869</v>
      </c>
      <c r="E82" s="46">
        <f>SUM(E83:E87)</f>
        <v>9027.049180327869</v>
      </c>
      <c r="F82" s="46">
        <f>SUM(F83:F87)</f>
        <v>9027.049180327869</v>
      </c>
      <c r="G82" s="46">
        <f>SUM(G83:G87)</f>
        <v>9027.049180327869</v>
      </c>
      <c r="H82" s="46">
        <f>SUM(H83:H87)</f>
        <v>9027.049180327869</v>
      </c>
      <c r="I82" s="46">
        <f>SUM(I83:I87)</f>
        <v>9027.049180327869</v>
      </c>
      <c r="J82" s="46">
        <f>SUM(J83:J87)</f>
        <v>17633.60655737705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89850</v>
      </c>
      <c r="AA82" s="46">
        <f>SUM(B82:M82)</f>
        <v>89850</v>
      </c>
      <c r="AB82" s="46">
        <f>SUM(B82:Y82)</f>
        <v>89850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9027.049180327869</v>
      </c>
      <c r="C87" s="37">
        <f>IF(Calculations!$E27&gt;COUNT(Output!$B$35:C$35),Calculations!$B27,IF(Calculations!$E27=COUNT(Output!$B$35:C$35),Inputs!$B60-Calculations!$C27*(Calculations!$E27-1)+Calculations!$D27,0))</f>
        <v>9027.049180327869</v>
      </c>
      <c r="D87" s="37">
        <f>IF(Calculations!$E27&gt;COUNT(Output!$B$35:D$35),Calculations!$B27,IF(Calculations!$E27=COUNT(Output!$B$35:D$35),Inputs!$B60-Calculations!$C27*(Calculations!$E27-1)+Calculations!$D27,0))</f>
        <v>9027.049180327869</v>
      </c>
      <c r="E87" s="37">
        <f>IF(Calculations!$E27&gt;COUNT(Output!$B$35:E$35),Calculations!$B27,IF(Calculations!$E27=COUNT(Output!$B$35:E$35),Inputs!$B60-Calculations!$C27*(Calculations!$E27-1)+Calculations!$D27,0))</f>
        <v>9027.049180327869</v>
      </c>
      <c r="F87" s="37">
        <f>IF(Calculations!$E27&gt;COUNT(Output!$B$35:F$35),Calculations!$B27,IF(Calculations!$E27=COUNT(Output!$B$35:F$35),Inputs!$B60-Calculations!$C27*(Calculations!$E27-1)+Calculations!$D27,0))</f>
        <v>9027.049180327869</v>
      </c>
      <c r="G87" s="37">
        <f>IF(Calculations!$E27&gt;COUNT(Output!$B$35:G$35),Calculations!$B27,IF(Calculations!$E27=COUNT(Output!$B$35:G$35),Inputs!$B60-Calculations!$C27*(Calculations!$E27-1)+Calculations!$D27,0))</f>
        <v>9027.049180327869</v>
      </c>
      <c r="H87" s="37">
        <f>IF(Calculations!$E27&gt;COUNT(Output!$B$35:H$35),Calculations!$B27,IF(Calculations!$E27=COUNT(Output!$B$35:H$35),Inputs!$B60-Calculations!$C27*(Calculations!$E27-1)+Calculations!$D27,0))</f>
        <v>9027.049180327869</v>
      </c>
      <c r="I87" s="37">
        <f>IF(Calculations!$E27&gt;COUNT(Output!$B$35:I$35),Calculations!$B27,IF(Calculations!$E27=COUNT(Output!$B$35:I$35),Inputs!$B60-Calculations!$C27*(Calculations!$E27-1)+Calculations!$D27,0))</f>
        <v>9027.049180327869</v>
      </c>
      <c r="J87" s="37">
        <f>IF(Calculations!$E27&gt;COUNT(Output!$B$35:J$35),Calculations!$B27,IF(Calculations!$E27=COUNT(Output!$B$35:J$35),Inputs!$B60-Calculations!$C27*(Calculations!$E27-1)+Calculations!$D27,0))</f>
        <v>17633.60655737705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89850</v>
      </c>
      <c r="AA87" s="37">
        <f>SUM(B87:M87)</f>
        <v>89850</v>
      </c>
      <c r="AB87" s="37">
        <f>SUM(B87:Y87)</f>
        <v>89850</v>
      </c>
    </row>
    <row r="88" spans="1:30" collapsed="true">
      <c r="A88" s="1" t="s">
        <v>37</v>
      </c>
      <c r="B88" s="19">
        <f>SUM(B72:B82,B66,B60,B54,B48,B42,B36)</f>
        <v>74413.05356629277</v>
      </c>
      <c r="C88" s="19">
        <f>SUM(C72:C82,C66,C60,C54,C48,C42,C36)</f>
        <v>74413.05356629277</v>
      </c>
      <c r="D88" s="19">
        <f>SUM(D72:D82,D66,D60,D54,D48,D42,D36)</f>
        <v>74413.05356629277</v>
      </c>
      <c r="E88" s="19">
        <f>SUM(E72:E82,E66,E60,E54,E48,E42,E36)</f>
        <v>74413.05356629277</v>
      </c>
      <c r="F88" s="19">
        <f>SUM(F72:F82,F66,F60,F54,F48,F42,F36)</f>
        <v>74413.05356629277</v>
      </c>
      <c r="G88" s="19">
        <f>SUM(G72:G82,G66,G60,G54,G48,G42,G36)</f>
        <v>74413.05356629277</v>
      </c>
      <c r="H88" s="19">
        <f>SUM(H72:H82,H66,H60,H54,H48,H42,H36)</f>
        <v>74413.05356629277</v>
      </c>
      <c r="I88" s="19">
        <f>SUM(I72:I82,I66,I60,I54,I48,I42,I36)</f>
        <v>74413.05356629277</v>
      </c>
      <c r="J88" s="19">
        <f>SUM(J72:J82,J66,J60,J54,J48,J42,J36)</f>
        <v>83019.61094334195</v>
      </c>
      <c r="K88" s="19">
        <f>SUM(K72:K82,K66,K60,K54,K48,K42,K36)</f>
        <v>65386.00438596491</v>
      </c>
      <c r="L88" s="19">
        <f>SUM(L72:L82,L66,L60,L54,L48,L42,L36)</f>
        <v>65386.00438596491</v>
      </c>
      <c r="M88" s="19">
        <f>SUM(M72:M82,M66,M60,M54,M48,M42,M36)</f>
        <v>65386.00438596491</v>
      </c>
      <c r="N88" s="19">
        <f>SUM(N72:N82,N66,N60,N54,N48,N42,N36)</f>
        <v>65386.00438596491</v>
      </c>
      <c r="O88" s="19">
        <f>SUM(O72:O82,O66,O60,O54,O48,O42,O36)</f>
        <v>65386.00438596491</v>
      </c>
      <c r="P88" s="19">
        <f>SUM(P72:P82,P66,P60,P54,P48,P42,P36)</f>
        <v>65386.00438596491</v>
      </c>
      <c r="Q88" s="19">
        <f>SUM(Q72:Q82,Q66,Q60,Q54,Q48,Q42,Q36)</f>
        <v>65386.00438596491</v>
      </c>
      <c r="R88" s="19">
        <f>SUM(R72:R82,R66,R60,R54,R48,R42,R36)</f>
        <v>65386.00438596491</v>
      </c>
      <c r="S88" s="19">
        <f>SUM(S72:S82,S66,S60,S54,S48,S42,S36)</f>
        <v>65386.00438596491</v>
      </c>
      <c r="T88" s="19">
        <f>SUM(T72:T82,T66,T60,T54,T48,T42,T36)</f>
        <v>65386.00438596491</v>
      </c>
      <c r="U88" s="19">
        <f>SUM(U72:U82,U66,U60,U54,U48,U42,U36)</f>
        <v>65386.00438596491</v>
      </c>
      <c r="V88" s="19">
        <f>SUM(V72:V82,V66,V60,V54,V48,V42,V36)</f>
        <v>65386.00438596491</v>
      </c>
      <c r="W88" s="19">
        <f>SUM(W72:W82,W66,W60,W54,W48,W42,W36)</f>
        <v>65386.00438596491</v>
      </c>
      <c r="X88" s="19">
        <f>SUM(X72:X82,X66,X60,X54,X48,X42,X36)</f>
        <v>65386.00438596491</v>
      </c>
      <c r="Y88" s="19">
        <f>SUM(Y72:Y82,Y66,Y60,Y54,Y48,Y42,Y36)</f>
        <v>65386.00438596491</v>
      </c>
      <c r="Z88" s="19">
        <f>SUMIF($B$13:$Y$13,"Yes",B88:Y88)</f>
        <v>1070640.065789474</v>
      </c>
      <c r="AA88" s="19">
        <f>SUM(B88:M88)</f>
        <v>874482.0526315789</v>
      </c>
      <c r="AB88" s="19">
        <f>SUM(B88:Y88)</f>
        <v>1659114.105263158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1135000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80000</v>
      </c>
    </row>
    <row r="101" spans="1:30" customHeight="1" ht="15.75">
      <c r="A101" s="1" t="s">
        <v>67</v>
      </c>
      <c r="B101" s="19">
        <f>SUM(B94:B100)</f>
        <v>3765000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75000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230000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5</v>
      </c>
      <c r="D19" s="145">
        <v>3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 t="s">
        <v>105</v>
      </c>
      <c r="B20" s="16"/>
      <c r="C20" s="143">
        <v>300</v>
      </c>
      <c r="D20" s="147">
        <v>250</v>
      </c>
      <c r="E20" s="16"/>
      <c r="F20" s="147" t="s">
        <v>103</v>
      </c>
      <c r="G20" s="16"/>
      <c r="H20" s="16"/>
      <c r="I20" s="147" t="s">
        <v>104</v>
      </c>
      <c r="J20" s="147">
        <v>5</v>
      </c>
      <c r="K20" s="147">
        <v>5</v>
      </c>
      <c r="L20" s="30">
        <v>1</v>
      </c>
    </row>
    <row r="21" spans="1:48">
      <c r="A21" s="144" t="s">
        <v>106</v>
      </c>
      <c r="B21" s="23"/>
      <c r="C21" s="144">
        <v>0</v>
      </c>
      <c r="D21" s="150">
        <v>0</v>
      </c>
      <c r="E21" s="23"/>
      <c r="F21" s="150" t="s">
        <v>103</v>
      </c>
      <c r="G21" s="23"/>
      <c r="H21" s="23"/>
      <c r="I21" s="150" t="s">
        <v>104</v>
      </c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30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60000</v>
      </c>
    </row>
    <row r="31" spans="1:48">
      <c r="A31" s="5" t="s">
        <v>113</v>
      </c>
      <c r="B31" s="158">
        <v>5000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103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103</v>
      </c>
    </row>
    <row r="45" spans="1:48">
      <c r="A45" s="56" t="s">
        <v>126</v>
      </c>
      <c r="B45" s="161">
        <v>2000000</v>
      </c>
    </row>
    <row r="46" spans="1:48" customHeight="1" ht="30">
      <c r="A46" s="57" t="s">
        <v>127</v>
      </c>
      <c r="B46" s="161">
        <v>500000</v>
      </c>
    </row>
    <row r="47" spans="1:48" customHeight="1" ht="30">
      <c r="A47" s="57" t="s">
        <v>128</v>
      </c>
      <c r="B47" s="161">
        <v>0</v>
      </c>
    </row>
    <row r="48" spans="1:48" customHeight="1" ht="30">
      <c r="A48" s="57" t="s">
        <v>129</v>
      </c>
      <c r="B48" s="161">
        <v>80000</v>
      </c>
    </row>
    <row r="49" spans="1:48" customHeight="1" ht="30">
      <c r="A49" s="57" t="s">
        <v>130</v>
      </c>
      <c r="B49" s="161">
        <v>50000</v>
      </c>
    </row>
    <row r="50" spans="1:48">
      <c r="A50" s="43"/>
      <c r="B50" s="36"/>
    </row>
    <row r="51" spans="1:48">
      <c r="A51" s="58" t="s">
        <v>131</v>
      </c>
      <c r="B51" s="161">
        <v>5000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70000</v>
      </c>
      <c r="B56" s="159">
        <v>0</v>
      </c>
      <c r="C56" s="162" t="s">
        <v>139</v>
      </c>
      <c r="D56" s="163" t="s">
        <v>140</v>
      </c>
      <c r="E56" s="163" t="s">
        <v>103</v>
      </c>
      <c r="F56" s="163" t="s">
        <v>141</v>
      </c>
    </row>
    <row r="57" spans="1:48">
      <c r="A57" s="157">
        <v>70000</v>
      </c>
      <c r="B57" s="157">
        <v>0</v>
      </c>
      <c r="C57" s="164" t="s">
        <v>142</v>
      </c>
      <c r="D57" s="165" t="s">
        <v>140</v>
      </c>
      <c r="E57" s="165" t="s">
        <v>103</v>
      </c>
      <c r="F57" s="165" t="s">
        <v>141</v>
      </c>
    </row>
    <row r="58" spans="1:48">
      <c r="A58" s="157">
        <v>90000</v>
      </c>
      <c r="B58" s="157">
        <v>0</v>
      </c>
      <c r="C58" s="164" t="s">
        <v>143</v>
      </c>
      <c r="D58" s="165" t="s">
        <v>144</v>
      </c>
      <c r="E58" s="165" t="s">
        <v>103</v>
      </c>
      <c r="F58" s="165" t="s">
        <v>141</v>
      </c>
    </row>
    <row r="59" spans="1:48">
      <c r="A59" s="157">
        <v>80000</v>
      </c>
      <c r="B59" s="157">
        <v>0</v>
      </c>
      <c r="C59" s="164" t="s">
        <v>145</v>
      </c>
      <c r="D59" s="165" t="s">
        <v>140</v>
      </c>
      <c r="E59" s="165" t="s">
        <v>103</v>
      </c>
      <c r="F59" s="165" t="s">
        <v>141</v>
      </c>
    </row>
    <row r="60" spans="1:48">
      <c r="A60" s="158">
        <v>90000</v>
      </c>
      <c r="B60" s="158">
        <v>75000</v>
      </c>
      <c r="C60" s="166" t="s">
        <v>146</v>
      </c>
      <c r="D60" s="167" t="s">
        <v>147</v>
      </c>
      <c r="E60" s="167" t="s">
        <v>103</v>
      </c>
      <c r="F60" s="167" t="s">
        <v>148</v>
      </c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150</v>
      </c>
      <c r="C65" s="10" t="s">
        <v>151</v>
      </c>
    </row>
    <row r="66" spans="1:48">
      <c r="A66" s="142" t="s">
        <v>152</v>
      </c>
      <c r="B66" s="159">
        <v>124010</v>
      </c>
      <c r="C66" s="163">
        <v>101241</v>
      </c>
      <c r="D66" s="49">
        <f>INDEX(Parameters!$D$79:$D$90,MATCH(Inputs!A66,Parameters!$C$79:$C$90,0))</f>
        <v>7</v>
      </c>
    </row>
    <row r="67" spans="1:48">
      <c r="A67" s="143" t="s">
        <v>153</v>
      </c>
      <c r="B67" s="157">
        <v>98120</v>
      </c>
      <c r="C67" s="165">
        <v>84215</v>
      </c>
      <c r="D67" s="49">
        <f>INDEX(Parameters!$D$79:$D$90,MATCH(Inputs!A67,Parameters!$C$79:$C$90,0))</f>
        <v>6</v>
      </c>
    </row>
    <row r="68" spans="1:48">
      <c r="A68" s="143" t="s">
        <v>154</v>
      </c>
      <c r="B68" s="157">
        <v>230120</v>
      </c>
      <c r="C68" s="165">
        <v>203120</v>
      </c>
      <c r="D68" s="49">
        <f>INDEX(Parameters!$D$79:$D$90,MATCH(Inputs!A68,Parameters!$C$79:$C$90,0))</f>
        <v>5</v>
      </c>
    </row>
    <row r="69" spans="1:48">
      <c r="A69" s="143" t="s">
        <v>155</v>
      </c>
      <c r="B69" s="157">
        <v>125120</v>
      </c>
      <c r="C69" s="165">
        <v>102410</v>
      </c>
      <c r="D69" s="49">
        <f>INDEX(Parameters!$D$79:$D$90,MATCH(Inputs!A69,Parameters!$C$79:$C$90,0))</f>
        <v>4</v>
      </c>
    </row>
    <row r="70" spans="1:48">
      <c r="A70" s="143" t="s">
        <v>156</v>
      </c>
      <c r="B70" s="157">
        <v>184128</v>
      </c>
      <c r="C70" s="165">
        <v>150421</v>
      </c>
      <c r="D70" s="49">
        <f>INDEX(Parameters!$D$79:$D$90,MATCH(Inputs!A70,Parameters!$C$79:$C$90,0))</f>
        <v>3</v>
      </c>
    </row>
    <row r="71" spans="1:48">
      <c r="A71" s="144" t="s">
        <v>157</v>
      </c>
      <c r="B71" s="158">
        <v>125100</v>
      </c>
      <c r="C71" s="167">
        <v>102451</v>
      </c>
      <c r="D71" s="49">
        <f>INDEX(Parameters!$D$79:$D$90,MATCH(Inputs!A71,Parameters!$C$79:$C$90,0))</f>
        <v>2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13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150000</v>
      </c>
    </row>
    <row r="82" spans="1:48">
      <c r="A82" t="s">
        <v>168</v>
      </c>
      <c r="B82" s="161">
        <v>20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12</v>
      </c>
    </row>
    <row r="86" spans="1:48">
      <c r="A86" t="s">
        <v>173</v>
      </c>
      <c r="B86" s="161"/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8</v>
      </c>
      <c r="AD4" s="60">
        <f>IF($A4=0,1/12,IFERROR(INDEX(Parameters!$X$2:$AI$17,MATCH(Calculations!$A4,Parameters!$A$2:$A$17,0),MONTH(Calculations!AD$3)),1/12))</f>
        <v>9</v>
      </c>
      <c r="AE4" s="60">
        <f>IF($A4=0,1/12,IFERROR(INDEX(Parameters!$X$2:$AI$17,MATCH(Calculations!$A4,Parameters!$A$2:$A$17,0),MONTH(Calculations!AE$3)),1/12))</f>
        <v>10</v>
      </c>
      <c r="AF4" s="60">
        <f>IF($A4=0,1/12,IFERROR(INDEX(Parameters!$X$2:$AI$17,MATCH(Calculations!$A4,Parameters!$A$2:$A$17,0),MONTH(Calculations!AF$3)),1/12))</f>
        <v>11</v>
      </c>
      <c r="AG4" s="60">
        <f>IF($A4=0,1/12,IFERROR(INDEX(Parameters!$X$2:$AI$17,MATCH(Calculations!$A4,Parameters!$A$2:$A$17,0),MONTH(Calculations!AG$3)),1/12))</f>
        <v>12</v>
      </c>
      <c r="AH4" s="60">
        <f>IF($A4=0,1/12,IFERROR(INDEX(Parameters!$X$2:$AI$17,MATCH(Calculations!$A4,Parameters!$A$2:$A$17,0),MONTH(Calculations!AH$3)),1/12))</f>
        <v>1</v>
      </c>
      <c r="AI4" s="60">
        <f>IF($A4=0,1/12,IFERROR(INDEX(Parameters!$X$2:$AI$17,MATCH(Calculations!$A4,Parameters!$A$2:$A$17,0),MONTH(Calculations!AI$3)),1/12))</f>
        <v>2</v>
      </c>
      <c r="AJ4" s="60">
        <f>IF($A4=0,1/12,IFERROR(INDEX(Parameters!$X$2:$AI$17,MATCH(Calculations!$A4,Parameters!$A$2:$A$17,0),MONTH(Calculations!AJ$3)),1/12))</f>
        <v>3</v>
      </c>
      <c r="AK4" s="60">
        <f>IF($A4=0,1/12,IFERROR(INDEX(Parameters!$X$2:$AI$17,MATCH(Calculations!$A4,Parameters!$A$2:$A$17,0),MONTH(Calculations!AK$3)),1/12))</f>
        <v>4</v>
      </c>
      <c r="AL4" s="60">
        <f>IF($A4=0,1/12,IFERROR(INDEX(Parameters!$X$2:$AI$17,MATCH(Calculations!$A4,Parameters!$A$2:$A$17,0),MONTH(Calculations!AL$3)),1/12))</f>
        <v>5</v>
      </c>
      <c r="AM4" s="60">
        <f>IF($A4=0,1/12,IFERROR(INDEX(Parameters!$X$2:$AI$17,MATCH(Calculations!$A4,Parameters!$A$2:$A$17,0),MONTH(Calculations!AM$3)),1/12))</f>
        <v>6</v>
      </c>
      <c r="AN4" s="60">
        <f>IF($A4=0,1/12,IFERROR(INDEX(Parameters!$X$2:$AI$17,MATCH(Calculations!$A4,Parameters!$A$2:$A$17,0),MONTH(Calculations!AN$3)),1/12))</f>
        <v>7</v>
      </c>
      <c r="AO4" s="60">
        <f>IF($A4=0,1/12,IFERROR(INDEX(Parameters!$X$2:$AI$17,MATCH(Calculations!$A4,Parameters!$A$2:$A$17,0),MONTH(Calculations!AO$3)),1/12))</f>
        <v>8</v>
      </c>
      <c r="AP4" s="60">
        <f>IF($A4=0,1/12,IFERROR(INDEX(Parameters!$X$2:$AI$17,MATCH(Calculations!$A4,Parameters!$A$2:$A$17,0),MONTH(Calculations!AP$3)),1/12))</f>
        <v>9</v>
      </c>
      <c r="AQ4" s="60">
        <f>IF($A4=0,1/12,IFERROR(INDEX(Parameters!$X$2:$AI$17,MATCH(Calculations!$A4,Parameters!$A$2:$A$17,0),MONTH(Calculations!AQ$3)),1/12))</f>
        <v>10</v>
      </c>
      <c r="AR4" s="60">
        <f>IF($A4=0,1/12,IFERROR(INDEX(Parameters!$X$2:$AI$17,MATCH(Calculations!$A4,Parameters!$A$2:$A$17,0),MONTH(Calculations!AR$3)),1/12))</f>
        <v>11</v>
      </c>
      <c r="AS4" s="60">
        <f>IF($A4=0,1/12,IFERROR(INDEX(Parameters!$X$2:$AI$17,MATCH(Calculations!$A4,Parameters!$A$2:$A$17,0),MONTH(Calculations!AS$3)),1/12))</f>
        <v>12</v>
      </c>
      <c r="AT4" s="60">
        <f>IF($A4=0,1/12,IFERROR(INDEX(Parameters!$X$2:$AI$17,MATCH(Calculations!$A4,Parameters!$A$2:$A$17,0),MONTH(Calculations!AT$3)),1/12))</f>
        <v>1</v>
      </c>
      <c r="AU4" s="60">
        <f>IF($A4=0,1/12,IFERROR(INDEX(Parameters!$X$2:$AI$17,MATCH(Calculations!$A4,Parameters!$A$2:$A$17,0),MONTH(Calculations!AU$3)),1/12))</f>
        <v>2</v>
      </c>
      <c r="AV4" s="60">
        <f>IF($A4=0,1/12,IFERROR(INDEX(Parameters!$X$2:$AI$17,MATCH(Calculations!$A4,Parameters!$A$2:$A$17,0),MONTH(Calculations!AV$3)),1/12))</f>
        <v>3</v>
      </c>
      <c r="AW4" s="60">
        <f>IF($A4=0,1/12,IFERROR(INDEX(Parameters!$X$2:$AI$17,MATCH(Calculations!$A4,Parameters!$A$2:$A$17,0),MONTH(Calculations!AW$3)),1/12))</f>
        <v>4</v>
      </c>
      <c r="AX4" s="60">
        <f>IF($A4=0,1/12,IFERROR(INDEX(Parameters!$X$2:$AI$17,MATCH(Calculations!$A4,Parameters!$A$2:$A$17,0),MONTH(Calculations!AX$3)),1/12))</f>
        <v>5</v>
      </c>
      <c r="AY4" s="60">
        <f>IF($A4=0,1/12,IFERROR(INDEX(Parameters!$X$2:$AI$17,MATCH(Calculations!$A4,Parameters!$A$2:$A$17,0),MONTH(Calculations!AY$3)),1/12))</f>
        <v>6</v>
      </c>
      <c r="AZ4" s="60">
        <f>IF($A4=0,1/12,IFERROR(INDEX(Parameters!$X$2:$AI$17,MATCH(Calculations!$A4,Parameters!$A$2:$A$17,0),MONTH(Calculations!AZ$3)),1/12))</f>
        <v>7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8</v>
      </c>
      <c r="AD5" s="22">
        <f>IF($A5=0,1/12,IFERROR(INDEX(Parameters!$X$2:$AI$17,MATCH(Calculations!$A5,Parameters!$A$2:$A$17,0),MONTH(Calculations!AD$3)),1/12))</f>
        <v>9</v>
      </c>
      <c r="AE5" s="22">
        <f>IF($A5=0,1/12,IFERROR(INDEX(Parameters!$X$2:$AI$17,MATCH(Calculations!$A5,Parameters!$A$2:$A$17,0),MONTH(Calculations!AE$3)),1/12))</f>
        <v>10</v>
      </c>
      <c r="AF5" s="22">
        <f>IF($A5=0,1/12,IFERROR(INDEX(Parameters!$X$2:$AI$17,MATCH(Calculations!$A5,Parameters!$A$2:$A$17,0),MONTH(Calculations!AF$3)),1/12))</f>
        <v>11</v>
      </c>
      <c r="AG5" s="22">
        <f>IF($A5=0,1/12,IFERROR(INDEX(Parameters!$X$2:$AI$17,MATCH(Calculations!$A5,Parameters!$A$2:$A$17,0),MONTH(Calculations!AG$3)),1/12))</f>
        <v>12</v>
      </c>
      <c r="AH5" s="22">
        <f>IF($A5=0,1/12,IFERROR(INDEX(Parameters!$X$2:$AI$17,MATCH(Calculations!$A5,Parameters!$A$2:$A$17,0),MONTH(Calculations!AH$3)),1/12))</f>
        <v>1</v>
      </c>
      <c r="AI5" s="22">
        <f>IF($A5=0,1/12,IFERROR(INDEX(Parameters!$X$2:$AI$17,MATCH(Calculations!$A5,Parameters!$A$2:$A$17,0),MONTH(Calculations!AI$3)),1/12))</f>
        <v>2</v>
      </c>
      <c r="AJ5" s="22">
        <f>IF($A5=0,1/12,IFERROR(INDEX(Parameters!$X$2:$AI$17,MATCH(Calculations!$A5,Parameters!$A$2:$A$17,0),MONTH(Calculations!AJ$3)),1/12))</f>
        <v>3</v>
      </c>
      <c r="AK5" s="22">
        <f>IF($A5=0,1/12,IFERROR(INDEX(Parameters!$X$2:$AI$17,MATCH(Calculations!$A5,Parameters!$A$2:$A$17,0),MONTH(Calculations!AK$3)),1/12))</f>
        <v>4</v>
      </c>
      <c r="AL5" s="22">
        <f>IF($A5=0,1/12,IFERROR(INDEX(Parameters!$X$2:$AI$17,MATCH(Calculations!$A5,Parameters!$A$2:$A$17,0),MONTH(Calculations!AL$3)),1/12))</f>
        <v>5</v>
      </c>
      <c r="AM5" s="22">
        <f>IF($A5=0,1/12,IFERROR(INDEX(Parameters!$X$2:$AI$17,MATCH(Calculations!$A5,Parameters!$A$2:$A$17,0),MONTH(Calculations!AM$3)),1/12))</f>
        <v>6</v>
      </c>
      <c r="AN5" s="22">
        <f>IF($A5=0,1/12,IFERROR(INDEX(Parameters!$X$2:$AI$17,MATCH(Calculations!$A5,Parameters!$A$2:$A$17,0),MONTH(Calculations!AN$3)),1/12))</f>
        <v>7</v>
      </c>
      <c r="AO5" s="22">
        <f>IF($A5=0,1/12,IFERROR(INDEX(Parameters!$X$2:$AI$17,MATCH(Calculations!$A5,Parameters!$A$2:$A$17,0),MONTH(Calculations!AO$3)),1/12))</f>
        <v>8</v>
      </c>
      <c r="AP5" s="22">
        <f>IF($A5=0,1/12,IFERROR(INDEX(Parameters!$X$2:$AI$17,MATCH(Calculations!$A5,Parameters!$A$2:$A$17,0),MONTH(Calculations!AP$3)),1/12))</f>
        <v>9</v>
      </c>
      <c r="AQ5" s="22">
        <f>IF($A5=0,1/12,IFERROR(INDEX(Parameters!$X$2:$AI$17,MATCH(Calculations!$A5,Parameters!$A$2:$A$17,0),MONTH(Calculations!AQ$3)),1/12))</f>
        <v>10</v>
      </c>
      <c r="AR5" s="22">
        <f>IF($A5=0,1/12,IFERROR(INDEX(Parameters!$X$2:$AI$17,MATCH(Calculations!$A5,Parameters!$A$2:$A$17,0),MONTH(Calculations!AR$3)),1/12))</f>
        <v>11</v>
      </c>
      <c r="AS5" s="22">
        <f>IF($A5=0,1/12,IFERROR(INDEX(Parameters!$X$2:$AI$17,MATCH(Calculations!$A5,Parameters!$A$2:$A$17,0),MONTH(Calculations!AS$3)),1/12))</f>
        <v>12</v>
      </c>
      <c r="AT5" s="22">
        <f>IF($A5=0,1/12,IFERROR(INDEX(Parameters!$X$2:$AI$17,MATCH(Calculations!$A5,Parameters!$A$2:$A$17,0),MONTH(Calculations!AT$3)),1/12))</f>
        <v>1</v>
      </c>
      <c r="AU5" s="22">
        <f>IF($A5=0,1/12,IFERROR(INDEX(Parameters!$X$2:$AI$17,MATCH(Calculations!$A5,Parameters!$A$2:$A$17,0),MONTH(Calculations!AU$3)),1/12))</f>
        <v>2</v>
      </c>
      <c r="AV5" s="22">
        <f>IF($A5=0,1/12,IFERROR(INDEX(Parameters!$X$2:$AI$17,MATCH(Calculations!$A5,Parameters!$A$2:$A$17,0),MONTH(Calculations!AV$3)),1/12))</f>
        <v>3</v>
      </c>
      <c r="AW5" s="22">
        <f>IF($A5=0,1/12,IFERROR(INDEX(Parameters!$X$2:$AI$17,MATCH(Calculations!$A5,Parameters!$A$2:$A$17,0),MONTH(Calculations!AW$3)),1/12))</f>
        <v>4</v>
      </c>
      <c r="AX5" s="22">
        <f>IF($A5=0,1/12,IFERROR(INDEX(Parameters!$X$2:$AI$17,MATCH(Calculations!$A5,Parameters!$A$2:$A$17,0),MONTH(Calculations!AX$3)),1/12))</f>
        <v>5</v>
      </c>
      <c r="AY5" s="22">
        <f>IF($A5=0,1/12,IFERROR(INDEX(Parameters!$X$2:$AI$17,MATCH(Calculations!$A5,Parameters!$A$2:$A$17,0),MONTH(Calculations!AY$3)),1/12))</f>
        <v>6</v>
      </c>
      <c r="AZ5" s="22">
        <f>IF($A5=0,1/12,IFERROR(INDEX(Parameters!$X$2:$AI$17,MATCH(Calculations!$A5,Parameters!$A$2:$A$17,0),MONTH(Calculations!AZ$3)),1/12))</f>
        <v>7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8</v>
      </c>
      <c r="AD6" s="22">
        <f>IF($A6=0,1/12,IFERROR(INDEX(Parameters!$X$2:$AI$17,MATCH(Calculations!$A6,Parameters!$A$2:$A$17,0),MONTH(Calculations!AD$3)),1/12))</f>
        <v>9</v>
      </c>
      <c r="AE6" s="22">
        <f>IF($A6=0,1/12,IFERROR(INDEX(Parameters!$X$2:$AI$17,MATCH(Calculations!$A6,Parameters!$A$2:$A$17,0),MONTH(Calculations!AE$3)),1/12))</f>
        <v>10</v>
      </c>
      <c r="AF6" s="22">
        <f>IF($A6=0,1/12,IFERROR(INDEX(Parameters!$X$2:$AI$17,MATCH(Calculations!$A6,Parameters!$A$2:$A$17,0),MONTH(Calculations!AF$3)),1/12))</f>
        <v>11</v>
      </c>
      <c r="AG6" s="22">
        <f>IF($A6=0,1/12,IFERROR(INDEX(Parameters!$X$2:$AI$17,MATCH(Calculations!$A6,Parameters!$A$2:$A$17,0),MONTH(Calculations!AG$3)),1/12))</f>
        <v>12</v>
      </c>
      <c r="AH6" s="22">
        <f>IF($A6=0,1/12,IFERROR(INDEX(Parameters!$X$2:$AI$17,MATCH(Calculations!$A6,Parameters!$A$2:$A$17,0),MONTH(Calculations!AH$3)),1/12))</f>
        <v>1</v>
      </c>
      <c r="AI6" s="22">
        <f>IF($A6=0,1/12,IFERROR(INDEX(Parameters!$X$2:$AI$17,MATCH(Calculations!$A6,Parameters!$A$2:$A$17,0),MONTH(Calculations!AI$3)),1/12))</f>
        <v>2</v>
      </c>
      <c r="AJ6" s="22">
        <f>IF($A6=0,1/12,IFERROR(INDEX(Parameters!$X$2:$AI$17,MATCH(Calculations!$A6,Parameters!$A$2:$A$17,0),MONTH(Calculations!AJ$3)),1/12))</f>
        <v>3</v>
      </c>
      <c r="AK6" s="22">
        <f>IF($A6=0,1/12,IFERROR(INDEX(Parameters!$X$2:$AI$17,MATCH(Calculations!$A6,Parameters!$A$2:$A$17,0),MONTH(Calculations!AK$3)),1/12))</f>
        <v>4</v>
      </c>
      <c r="AL6" s="22">
        <f>IF($A6=0,1/12,IFERROR(INDEX(Parameters!$X$2:$AI$17,MATCH(Calculations!$A6,Parameters!$A$2:$A$17,0),MONTH(Calculations!AL$3)),1/12))</f>
        <v>5</v>
      </c>
      <c r="AM6" s="22">
        <f>IF($A6=0,1/12,IFERROR(INDEX(Parameters!$X$2:$AI$17,MATCH(Calculations!$A6,Parameters!$A$2:$A$17,0),MONTH(Calculations!AM$3)),1/12))</f>
        <v>6</v>
      </c>
      <c r="AN6" s="22">
        <f>IF($A6=0,1/12,IFERROR(INDEX(Parameters!$X$2:$AI$17,MATCH(Calculations!$A6,Parameters!$A$2:$A$17,0),MONTH(Calculations!AN$3)),1/12))</f>
        <v>7</v>
      </c>
      <c r="AO6" s="22">
        <f>IF($A6=0,1/12,IFERROR(INDEX(Parameters!$X$2:$AI$17,MATCH(Calculations!$A6,Parameters!$A$2:$A$17,0),MONTH(Calculations!AO$3)),1/12))</f>
        <v>8</v>
      </c>
      <c r="AP6" s="22">
        <f>IF($A6=0,1/12,IFERROR(INDEX(Parameters!$X$2:$AI$17,MATCH(Calculations!$A6,Parameters!$A$2:$A$17,0),MONTH(Calculations!AP$3)),1/12))</f>
        <v>9</v>
      </c>
      <c r="AQ6" s="22">
        <f>IF($A6=0,1/12,IFERROR(INDEX(Parameters!$X$2:$AI$17,MATCH(Calculations!$A6,Parameters!$A$2:$A$17,0),MONTH(Calculations!AQ$3)),1/12))</f>
        <v>10</v>
      </c>
      <c r="AR6" s="22">
        <f>IF($A6=0,1/12,IFERROR(INDEX(Parameters!$X$2:$AI$17,MATCH(Calculations!$A6,Parameters!$A$2:$A$17,0),MONTH(Calculations!AR$3)),1/12))</f>
        <v>11</v>
      </c>
      <c r="AS6" s="22">
        <f>IF($A6=0,1/12,IFERROR(INDEX(Parameters!$X$2:$AI$17,MATCH(Calculations!$A6,Parameters!$A$2:$A$17,0),MONTH(Calculations!AS$3)),1/12))</f>
        <v>12</v>
      </c>
      <c r="AT6" s="22">
        <f>IF($A6=0,1/12,IFERROR(INDEX(Parameters!$X$2:$AI$17,MATCH(Calculations!$A6,Parameters!$A$2:$A$17,0),MONTH(Calculations!AT$3)),1/12))</f>
        <v>1</v>
      </c>
      <c r="AU6" s="22">
        <f>IF($A6=0,1/12,IFERROR(INDEX(Parameters!$X$2:$AI$17,MATCH(Calculations!$A6,Parameters!$A$2:$A$17,0),MONTH(Calculations!AU$3)),1/12))</f>
        <v>2</v>
      </c>
      <c r="AV6" s="22">
        <f>IF($A6=0,1/12,IFERROR(INDEX(Parameters!$X$2:$AI$17,MATCH(Calculations!$A6,Parameters!$A$2:$A$17,0),MONTH(Calculations!AV$3)),1/12))</f>
        <v>3</v>
      </c>
      <c r="AW6" s="22">
        <f>IF($A6=0,1/12,IFERROR(INDEX(Parameters!$X$2:$AI$17,MATCH(Calculations!$A6,Parameters!$A$2:$A$17,0),MONTH(Calculations!AW$3)),1/12))</f>
        <v>4</v>
      </c>
      <c r="AX6" s="22">
        <f>IF($A6=0,1/12,IFERROR(INDEX(Parameters!$X$2:$AI$17,MATCH(Calculations!$A6,Parameters!$A$2:$A$17,0),MONTH(Calculations!AX$3)),1/12))</f>
        <v>5</v>
      </c>
      <c r="AY6" s="22">
        <f>IF($A6=0,1/12,IFERROR(INDEX(Parameters!$X$2:$AI$17,MATCH(Calculations!$A6,Parameters!$A$2:$A$17,0),MONTH(Calculations!AY$3)),1/12))</f>
        <v>6</v>
      </c>
      <c r="AZ6" s="22">
        <f>IF($A6=0,1/12,IFERROR(INDEX(Parameters!$X$2:$AI$17,MATCH(Calculations!$A6,Parameters!$A$2:$A$17,0),MONTH(Calculations!AZ$3)),1/12))</f>
        <v>7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300</v>
      </c>
      <c r="E15" s="16">
        <f>Inputs!D20</f>
        <v>250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1.083333333333333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0.4887218045112781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0.05</v>
      </c>
      <c r="N15" s="130">
        <f>Inputs!K20/100</f>
        <v>0.05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338928.5714285713</v>
      </c>
      <c r="Q15" s="64">
        <f>IFERROR(D15*INDEX(Parameters!$A$22:$P$29,MATCH(Calculations!$A15,Parameters!$A$22:$A$29,0),MATCH(Parameters!$L$22,Parameters!$A$22:$P$22,0))*IF(Inputs!I20="Always",1,IF(Inputs!I20="Sometimes",0.5,0))*365,"")</f>
        <v>54750</v>
      </c>
      <c r="R15" s="64">
        <f>IFERROR(D15*INDEX(Parameters!$A$22:$P$29,MATCH(Calculations!$A15,Parameters!$A$22:$A$29,0),MATCH(Parameters!$M$22,Parameters!$A$22:$P$22,0)),"")</f>
        <v>2560</v>
      </c>
      <c r="S15" s="64">
        <f>IFERROR(D15*INDEX(Parameters!$A$22:$P$29,MATCH(Calculations!$A15,Parameters!$A$22:$A$29,0),MATCH(Parameters!$N$22,Parameters!$A$22:$P$22,0)),"")</f>
        <v>20582.70676691729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43466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48750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70000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70000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90000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80000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90000</v>
      </c>
      <c r="B27" s="61">
        <f>SUM(C27:D27)</f>
        <v>9027.049180327869</v>
      </c>
      <c r="C27" s="61">
        <f>IF(Inputs!B60&gt;0,(Inputs!A60-Inputs!B60)/(DATE(YEAR(Inputs!$B$76),MONTH(Inputs!$B$76),DAY(Inputs!$B$76))-DATE(YEAR(Inputs!C60),MONTH(Inputs!C60),DAY(Inputs!C60)))*30,0)</f>
        <v>7377.049180327869</v>
      </c>
      <c r="D27" s="61">
        <f>IF(Inputs!B60&gt;0,Inputs!A60*0.22/12,0)</f>
        <v>1650</v>
      </c>
      <c r="E27" s="61">
        <f>IFERROR(ROUNDUP(Inputs!B60/B27,0),0)</f>
        <v>9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43040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43040</v>
      </c>
      <c r="F33" t="s">
        <v>163</v>
      </c>
      <c r="G33" s="128">
        <f>IF(Inputs!B79="","",DATE(YEAR(Inputs!B79),MONTH(Inputs!B79),DAY(Inputs!B79)))</f>
        <v>42979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43070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43070</v>
      </c>
      <c r="F34" t="s">
        <v>165</v>
      </c>
      <c r="G34" s="128">
        <f>IF(Inputs!B80="","",DATE(YEAR(Inputs!B80),MONTH(Inputs!B80),DAY(Inputs!B80)))</f>
        <v>43040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43101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43101</v>
      </c>
      <c r="F35" t="s">
        <v>167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43132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43132</v>
      </c>
      <c r="F36" t="s">
        <v>168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43160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43160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43191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43191</v>
      </c>
      <c r="F38" t="s">
        <v>230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43221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43221</v>
      </c>
      <c r="F39" t="s">
        <v>173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43252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43252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43282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43282</v>
      </c>
      <c r="F41" t="s">
        <v>231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43313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43313</v>
      </c>
      <c r="F42" t="s">
        <v>232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43344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43374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265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205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105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106</v>
      </c>
      <c r="B24" s="21" t="s">
        <v>300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300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300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300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300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90</v>
      </c>
      <c r="B41" s="191" t="s">
        <v>316</v>
      </c>
      <c r="C41" s="191" t="s">
        <v>103</v>
      </c>
    </row>
    <row r="42" spans="1:36">
      <c r="A42" t="s">
        <v>105</v>
      </c>
      <c r="B42" s="72">
        <v>450</v>
      </c>
      <c r="C42" s="72">
        <v>450</v>
      </c>
    </row>
    <row r="43" spans="1:36">
      <c r="A43" t="s">
        <v>106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275</v>
      </c>
      <c r="E52" s="12" t="s">
        <v>275</v>
      </c>
      <c r="F52" s="12" t="s">
        <v>275</v>
      </c>
      <c r="G52" s="12" t="s">
        <v>318</v>
      </c>
      <c r="H52" s="12" t="s">
        <v>319</v>
      </c>
      <c r="I52" s="12" t="s">
        <v>124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233</v>
      </c>
      <c r="E53" s="10" t="s">
        <v>192</v>
      </c>
      <c r="F53" s="10" t="s">
        <v>252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316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316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316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316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316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316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316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170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229</v>
      </c>
      <c r="J76" s="11" t="s">
        <v>352</v>
      </c>
      <c r="K76" s="11" t="s">
        <v>182</v>
      </c>
      <c r="AJ76" s="12"/>
    </row>
    <row r="77" spans="1:36">
      <c r="A77" t="s">
        <v>103</v>
      </c>
      <c r="B77" s="176">
        <v>0</v>
      </c>
      <c r="C77" s="12" t="s">
        <v>353</v>
      </c>
      <c r="E77" s="12" t="s">
        <v>316</v>
      </c>
      <c r="F77" s="12" t="s">
        <v>316</v>
      </c>
      <c r="G77" s="12" t="s">
        <v>354</v>
      </c>
      <c r="H77" s="12" t="s">
        <v>319</v>
      </c>
      <c r="I77" s="12" t="s">
        <v>355</v>
      </c>
      <c r="J77" s="136" t="s">
        <v>356</v>
      </c>
      <c r="K77" s="12" t="s">
        <v>316</v>
      </c>
      <c r="AJ77" s="12"/>
    </row>
    <row r="78" spans="1:36">
      <c r="A78" t="s">
        <v>316</v>
      </c>
      <c r="B78" s="176">
        <v>5</v>
      </c>
      <c r="C78" s="134" t="s">
        <v>357</v>
      </c>
      <c r="D78" s="133"/>
      <c r="E78" s="12" t="s">
        <v>358</v>
      </c>
      <c r="F78" s="12" t="s">
        <v>359</v>
      </c>
      <c r="G78" s="12" t="s">
        <v>104</v>
      </c>
      <c r="H78" s="12" t="s">
        <v>124</v>
      </c>
      <c r="I78" s="12" t="s">
        <v>360</v>
      </c>
      <c r="J78" s="70" t="s">
        <v>361</v>
      </c>
      <c r="K78" s="12" t="s">
        <v>316</v>
      </c>
      <c r="AJ78" s="12"/>
    </row>
    <row r="79" spans="1:36">
      <c r="B79" s="176">
        <v>10</v>
      </c>
      <c r="C79" s="12" t="s">
        <v>362</v>
      </c>
      <c r="D79" s="12">
        <v>1</v>
      </c>
      <c r="E79" s="12" t="s">
        <v>363</v>
      </c>
      <c r="F79" s="12" t="s">
        <v>364</v>
      </c>
      <c r="G79" s="12" t="s">
        <v>365</v>
      </c>
      <c r="I79" s="12" t="s">
        <v>170</v>
      </c>
      <c r="J79" s="70" t="s">
        <v>366</v>
      </c>
      <c r="K79" s="12" t="s">
        <v>316</v>
      </c>
      <c r="AJ79" s="12"/>
    </row>
    <row r="80" spans="1:36">
      <c r="B80" s="176">
        <v>20</v>
      </c>
      <c r="C80" s="12" t="s">
        <v>157</v>
      </c>
      <c r="D80" s="12">
        <f>D79+1</f>
        <v>2</v>
      </c>
      <c r="E80" s="12" t="s">
        <v>367</v>
      </c>
      <c r="F80" s="12" t="s">
        <v>368</v>
      </c>
      <c r="J80" s="70" t="s">
        <v>369</v>
      </c>
      <c r="K80" s="12" t="s">
        <v>103</v>
      </c>
      <c r="AJ80" s="12"/>
    </row>
    <row r="81" spans="1:36">
      <c r="B81" s="176">
        <v>30</v>
      </c>
      <c r="C81" s="12" t="s">
        <v>156</v>
      </c>
      <c r="D81" s="12">
        <f>D80+1</f>
        <v>3</v>
      </c>
      <c r="J81" s="70" t="s">
        <v>370</v>
      </c>
      <c r="K81" s="12" t="s">
        <v>103</v>
      </c>
    </row>
    <row r="82" spans="1:36">
      <c r="B82" s="176">
        <v>40</v>
      </c>
      <c r="C82" s="12" t="s">
        <v>155</v>
      </c>
      <c r="D82" s="12">
        <f>D81+1</f>
        <v>4</v>
      </c>
      <c r="J82" s="70"/>
    </row>
    <row r="83" spans="1:36">
      <c r="B83" s="176">
        <v>50</v>
      </c>
      <c r="C83" s="12" t="s">
        <v>154</v>
      </c>
      <c r="D83" s="12">
        <f>D82+1</f>
        <v>5</v>
      </c>
    </row>
    <row r="84" spans="1:36">
      <c r="B84" s="176">
        <v>60</v>
      </c>
      <c r="C84" s="12" t="s">
        <v>153</v>
      </c>
      <c r="D84" s="12">
        <f>D83+1</f>
        <v>6</v>
      </c>
    </row>
    <row r="85" spans="1:36">
      <c r="B85" s="176">
        <v>70</v>
      </c>
      <c r="C85" s="12" t="s">
        <v>152</v>
      </c>
      <c r="D85" s="12">
        <f>D84+1</f>
        <v>7</v>
      </c>
    </row>
    <row r="86" spans="1:36">
      <c r="B86" s="176">
        <v>80</v>
      </c>
      <c r="C86" s="12" t="s">
        <v>371</v>
      </c>
      <c r="D86" s="12">
        <f>D85+1</f>
        <v>8</v>
      </c>
    </row>
    <row r="87" spans="1:36">
      <c r="B87" s="176">
        <v>89.99999999999999</v>
      </c>
      <c r="C87" s="12" t="s">
        <v>372</v>
      </c>
      <c r="D87" s="12">
        <f>D86+1</f>
        <v>9</v>
      </c>
    </row>
    <row r="88" spans="1:36">
      <c r="B88" s="176">
        <v>99.99999999999999</v>
      </c>
      <c r="C88" s="12" t="s">
        <v>373</v>
      </c>
      <c r="D88" s="12">
        <f>D87+1</f>
        <v>10</v>
      </c>
    </row>
    <row r="89" spans="1:36">
      <c r="C89" s="12" t="s">
        <v>374</v>
      </c>
      <c r="D89" s="12">
        <f>D88+1</f>
        <v>11</v>
      </c>
    </row>
    <row r="90" spans="1:36">
      <c r="C90" s="12" t="s">
        <v>375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