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<sst xmlns="http://schemas.openxmlformats.org/spreadsheetml/2006/main" uniqueCount="366">
  <si>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</si>
  <si>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</si>
  <si>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</si>
  <si>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</si>
  <si>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</si>
  <si>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</si>
  <si>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</si>
  <si>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</si>
  <si>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</si>
  <si>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</si>
  <si>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</si>
  <si>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</si>
  <si>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</si>
  <si>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</si>
  <si>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</si>
  <si>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</si>
  <si>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</si>
  <si>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</si>
  <si>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</si>
  <si>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</si>
  <si>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</si>
  <si>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</si>
  <si>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</si>
  <si>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</si>
  <si>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</si>
  <si>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</si>
  <si>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</si>
  <si>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</si>
  <si>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</si>
  <si>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</si>
  <si>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</si>
  <si>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</si>
  <si>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</si>
  <si>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</si>
  <si>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</si>
  <si>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</si>
  <si>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</si>
  <si>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</si>
  <si>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</si>
  <si>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</si>
  <si>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</si>
  <si>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</si>
  <si>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</si>
  <si>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</si>
  <si>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</si>
  <si>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</si>
  <si>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</si>
  <si>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</si>
  <si>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</si>
  <si>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</si>
  <si>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</si>
  <si>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</si>
  <si>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</si>
  <si>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</si>
  <si>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</si>
  <si>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</si>
  <si>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</si>
  <si>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</si>
  <si>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</si>
  <si>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</si>
  <si>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</si>
  <si>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</si>
  <si>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</si>
  <si>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</si>
  <si>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</si>
  <si>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</si>
  <si>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</si>
  <si>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</si>
  <si>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</si>
  <si>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</si>
  <si>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</si>
  <si>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</si>
  <si>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</si>
  <si>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</si>
  <si>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</si>
  <si>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</si>
  <si>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</si>
  <si>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</si>
  <si>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</si>
  <si>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</si>
  <si>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</si>
  <si>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</si>
  <si>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</si>
  <si>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</si>
  <si>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</si>
  <si>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</si>
  <si>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</si>
  <si>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</si>
  <si>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</si>
  <si>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</si>
  <si>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</si>
  <si>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</si>
  <si>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</si>
  <si>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</si>
  <si>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August</t>
  </si>
  <si>
    <t>Wheat</t>
  </si>
  <si>
    <t>Yes Inorganic fertizers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</si>
  <si>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</si>
  <si>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</si>
  <si>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</si>
  <si>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</si>
  <si>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</si>
  <si>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</si>
  <si>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</si>
  <si>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</si>
  <si>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</si>
  <si>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</si>
  <si>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</si>
  <si>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</si>
  <si>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</si>
  <si>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</si>
  <si>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</si>
  <si>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</si>
  <si>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</si>
  <si>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</si>
  <si>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</si>
  <si>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</si>
  <si>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</si>
  <si>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</si>
  <si>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</si>
  <si>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</si>
  <si>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</si>
  <si>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</si>
  <si>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</si>
  <si>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</si>
  <si>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</si>
  <si>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</si>
  <si>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</si>
  <si>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</si>
  <si>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</si>
  <si>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</si>
  <si>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</si>
  <si>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</si>
  <si>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</si>
  <si>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</si>
  <si>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</si>
  <si>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</si>
  <si>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</si>
  <si>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</si>
  <si>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</si>
  <si>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</si>
  <si>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</si>
  <si>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</si>
  <si>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</si>
  <si>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</si>
  <si>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</si>
  <si>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</si>
  <si>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</si>
  <si>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</si>
  <si>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</si>
  <si>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</si>
  <si>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</si>
  <si>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2017/8/24</t>
  </si>
  <si>
    <t>Loan terms</t>
  </si>
  <si>
    <t>Expected disbursement date</t>
  </si>
  <si>
    <t>Expected first repayment date</t>
  </si>
  <si>
    <t>2017/9/24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</si>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</sst>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0.4525842839178583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0.02873469387755102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355323.0698276469</v>
      </c>
    </row>
    <row r="18" spans="1:7">
      <c r="B18" s="1" t="s">
        <v>12</v>
      </c>
      <c r="C18" s="36">
        <f>MIN(Output!B6:M6)</f>
        <v>-99754.29753010737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335097.7111697096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-74578.29753010737</v>
      </c>
      <c r="C6" s="51">
        <f>C30-C88</f>
        <v>-25354.29753010736</v>
      </c>
      <c r="D6" s="51">
        <f>D30-D88</f>
        <v>-25354.29753010736</v>
      </c>
      <c r="E6" s="51">
        <f>E30-E88</f>
        <v>-99754.29753010737</v>
      </c>
      <c r="F6" s="51">
        <f>F30-F88</f>
        <v>-25354.29753010736</v>
      </c>
      <c r="G6" s="51">
        <f>G30-G88</f>
        <v>323989.1397411381</v>
      </c>
      <c r="H6" s="51">
        <f>H30-H88</f>
        <v>-15320.74992521947</v>
      </c>
      <c r="I6" s="51">
        <f>I30-I88</f>
        <v>76689.63479716323</v>
      </c>
      <c r="J6" s="51">
        <f>J30-J88</f>
        <v>-14245.72610153593</v>
      </c>
      <c r="K6" s="51">
        <f>K30-K88</f>
        <v>-86245.72610153593</v>
      </c>
      <c r="L6" s="51">
        <f>L30-L88</f>
        <v>-14245.72610153593</v>
      </c>
      <c r="M6" s="51">
        <f>M30-M88</f>
        <v>335097.7111697096</v>
      </c>
      <c r="N6" s="51">
        <f>N30-N88</f>
        <v>-74578.29753010737</v>
      </c>
      <c r="O6" s="51">
        <f>O30-O88</f>
        <v>-25354.29753010736</v>
      </c>
      <c r="P6" s="51">
        <f>P30-P88</f>
        <v>-25354.29753010736</v>
      </c>
      <c r="Q6" s="51">
        <f>Q30-Q88</f>
        <v>-99754.29753010737</v>
      </c>
      <c r="R6" s="51">
        <f>R30-R88</f>
        <v>-25354.29753010736</v>
      </c>
      <c r="S6" s="51">
        <f>S30-S88</f>
        <v>323989.1397411381</v>
      </c>
      <c r="T6" s="51">
        <f>T30-T88</f>
        <v>-15320.74992521947</v>
      </c>
      <c r="U6" s="51">
        <f>U30-U88</f>
        <v>76689.63479716323</v>
      </c>
      <c r="V6" s="51">
        <f>V30-V88</f>
        <v>-14245.72610153593</v>
      </c>
      <c r="W6" s="51">
        <f>W30-W88</f>
        <v>-86245.72610153593</v>
      </c>
      <c r="X6" s="51">
        <f>X30-X88</f>
        <v>-14245.72610153593</v>
      </c>
      <c r="Y6" s="51">
        <f>Y30-Y88</f>
        <v>335097.7111697096</v>
      </c>
      <c r="Z6" s="51">
        <f>SUMIF($B$13:$Y$13,"Yes",B6:Y6)</f>
        <v>280744.7722975395</v>
      </c>
      <c r="AA6" s="51">
        <f>AA30-AA88</f>
        <v>355323.0698276472</v>
      </c>
      <c r="AB6" s="51">
        <f>AB30-AB88</f>
        <v>710646.1396552946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170000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170000</v>
      </c>
      <c r="AA9" s="75">
        <f>SUM(B9:M9)</f>
        <v>170000</v>
      </c>
      <c r="AB9" s="75">
        <f>SUM(B9:Y9)</f>
        <v>170000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204000</v>
      </c>
      <c r="AA10" s="37">
        <f>SUM(B10:M10)</f>
        <v>187000</v>
      </c>
      <c r="AB10" s="37">
        <f>SUM(B10:Y10)</f>
        <v>204000</v>
      </c>
    </row>
    <row r="11" spans="1:30" customHeight="1" ht="15.75">
      <c r="A11" s="43" t="s">
        <v>31</v>
      </c>
      <c r="B11" s="80">
        <f>B6+B9-B10</f>
        <v>95421.70246989263</v>
      </c>
      <c r="C11" s="80">
        <f>C6+C9-C10</f>
        <v>-42354.29753010736</v>
      </c>
      <c r="D11" s="80">
        <f>D6+D9-D10</f>
        <v>-42354.29753010736</v>
      </c>
      <c r="E11" s="80">
        <f>E6+E9-E10</f>
        <v>-116754.2975301074</v>
      </c>
      <c r="F11" s="80">
        <f>F6+F9-F10</f>
        <v>-42354.29753010736</v>
      </c>
      <c r="G11" s="80">
        <f>G6+G9-G10</f>
        <v>306989.1397411381</v>
      </c>
      <c r="H11" s="80">
        <f>H6+H9-H10</f>
        <v>-32320.74992521947</v>
      </c>
      <c r="I11" s="80">
        <f>I6+I9-I10</f>
        <v>59689.63479716323</v>
      </c>
      <c r="J11" s="80">
        <f>J6+J9-J10</f>
        <v>-31245.72610153593</v>
      </c>
      <c r="K11" s="80">
        <f>K6+K9-K10</f>
        <v>-103245.7261015359</v>
      </c>
      <c r="L11" s="80">
        <f>L6+L9-L10</f>
        <v>-31245.72610153593</v>
      </c>
      <c r="M11" s="80">
        <f>M6+M9-M10</f>
        <v>318097.7111697096</v>
      </c>
      <c r="N11" s="80">
        <f>N6+N9-N10</f>
        <v>-91578.29753010737</v>
      </c>
      <c r="O11" s="80">
        <f>O6+O9-O10</f>
        <v>-25354.29753010736</v>
      </c>
      <c r="P11" s="80">
        <f>P6+P9-P10</f>
        <v>-25354.29753010736</v>
      </c>
      <c r="Q11" s="80">
        <f>Q6+Q9-Q10</f>
        <v>-99754.29753010737</v>
      </c>
      <c r="R11" s="80">
        <f>R6+R9-R10</f>
        <v>-25354.29753010736</v>
      </c>
      <c r="S11" s="80">
        <f>S6+S9-S10</f>
        <v>323989.1397411381</v>
      </c>
      <c r="T11" s="80">
        <f>T6+T9-T10</f>
        <v>-15320.74992521947</v>
      </c>
      <c r="U11" s="80">
        <f>U6+U9-U10</f>
        <v>76689.63479716323</v>
      </c>
      <c r="V11" s="80">
        <f>V6+V9-V10</f>
        <v>-14245.72610153593</v>
      </c>
      <c r="W11" s="80">
        <f>W6+W9-W10</f>
        <v>-86245.72610153593</v>
      </c>
      <c r="X11" s="80">
        <f>X6+X9-X10</f>
        <v>-14245.72610153593</v>
      </c>
      <c r="Y11" s="80">
        <f>Y6+Y9-Y10</f>
        <v>335097.7111697096</v>
      </c>
      <c r="Z11" s="85">
        <f>SUMIF($B$13:$Y$13,"Yes",B11:Y11)</f>
        <v>246744.7722975395</v>
      </c>
      <c r="AA11" s="80">
        <f>SUM(B11:M11)</f>
        <v>338323.0698276469</v>
      </c>
      <c r="AB11" s="46">
        <f>SUM(B11:Y11)</f>
        <v>676646.1396552937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0.2426235139521652</v>
      </c>
      <c r="D12" s="82">
        <f>IF(D13="Yes",IF(SUM($B$10:D10)/(SUM($B$6:D6)+SUM($B$9:D9))&lt;0,999.99,SUM($B$10:D10)/(SUM($B$6:D6)+SUM($B$9:D9))),"")</f>
        <v>0.7604034246262403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0.3489417695022094</v>
      </c>
      <c r="H12" s="82">
        <f>IF(H13="Yes",IF(SUM($B$10:H10)/(SUM($B$6:H6)+SUM($B$9:H9))&lt;0,999.99,SUM($B$10:H10)/(SUM($B$6:H6)+SUM($B$9:H9))),"")</f>
        <v>0.4468335883603995</v>
      </c>
      <c r="I12" s="82">
        <f>IF(I13="Yes",IF(SUM($B$10:I10)/(SUM($B$6:I6)+SUM($B$9:I9))&lt;0,999.99,SUM($B$10:I10)/(SUM($B$6:I6)+SUM($B$9:I9))),"")</f>
        <v>0.390211864005497</v>
      </c>
      <c r="J12" s="82">
        <f>IF(J13="Yes",IF(SUM($B$10:J10)/(SUM($B$6:J6)+SUM($B$9:J9))&lt;0,999.99,SUM($B$10:J10)/(SUM($B$6:J6)+SUM($B$9:J9))),"")</f>
        <v>0.4678092044185955</v>
      </c>
      <c r="K12" s="82">
        <f>IF(K13="Yes",IF(SUM($B$10:K10)/(SUM($B$6:K6)+SUM($B$9:K9))&lt;0,999.99,SUM($B$10:K10)/(SUM($B$6:K6)+SUM($B$9:K9))),"")</f>
        <v>0.7482720609614775</v>
      </c>
      <c r="L12" s="82">
        <f>IF(L13="Yes",IF(SUM($B$10:L10)/(SUM($B$6:L6)+SUM($B$9:L9))&lt;0,999.99,SUM($B$10:L10)/(SUM($B$6:L6)+SUM($B$9:L9))),"")</f>
        <v>0.8936768535981235</v>
      </c>
      <c r="M12" s="82">
        <f>IF(M13="Yes",IF(SUM($B$10:M10)/(SUM($B$6:M6)+SUM($B$9:M9))&lt;0,999.99,SUM($B$10:M10)/(SUM($B$6:M6)+SUM($B$9:M9))),"")</f>
        <v>0.355971421665058</v>
      </c>
      <c r="N12" s="82">
        <f>IF(N13="Yes",IF(SUM($B$10:N10)/(SUM($B$6:N6)+SUM($B$9:N9))&lt;0,999.99,SUM($B$10:N10)/(SUM($B$6:N6)+SUM($B$9:N9))),"")</f>
        <v>0.4525842839178583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75779.46741558264</v>
      </c>
      <c r="I18" s="36">
        <f>U18</f>
        <v>90935.36089869916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75779.46741558264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90935.36089869916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166714.8283142818</v>
      </c>
      <c r="AA18" s="36">
        <f>SUM(B18:M18)</f>
        <v>166714.8283142818</v>
      </c>
      <c r="AB18" s="36">
        <f>SUM(B18:Y18)</f>
        <v>333429.6566285636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349343.4372712455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349343.4372712455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349343.4372712455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349343.4372712455</v>
      </c>
      <c r="Z19" s="36">
        <f>SUMIF($B$13:$Y$13,"Yes",B19:Y19)</f>
        <v>698686.874542491</v>
      </c>
      <c r="AA19" s="36">
        <f>SUM(B19:M19)</f>
        <v>698686.874542491</v>
      </c>
      <c r="AB19" s="36">
        <f>SUM(B19:Y19)</f>
        <v>1397373.749084982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57999.99999999998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12777.77777777778</v>
      </c>
      <c r="C24" s="36">
        <f>IFERROR(Calculations!$P14/12,"")</f>
        <v>12777.77777777778</v>
      </c>
      <c r="D24" s="36">
        <f>IFERROR(Calculations!$P14/12,"")</f>
        <v>12777.77777777778</v>
      </c>
      <c r="E24" s="36">
        <f>IFERROR(Calculations!$P14/12,"")</f>
        <v>12777.77777777778</v>
      </c>
      <c r="F24" s="36">
        <f>IFERROR(Calculations!$P14/12,"")</f>
        <v>12777.77777777778</v>
      </c>
      <c r="G24" s="36">
        <f>IFERROR(Calculations!$P14/12,"")</f>
        <v>12777.77777777778</v>
      </c>
      <c r="H24" s="36">
        <f>IFERROR(Calculations!$P14/12,"")</f>
        <v>12777.77777777778</v>
      </c>
      <c r="I24" s="36">
        <f>IFERROR(Calculations!$P14/12,"")</f>
        <v>12777.77777777778</v>
      </c>
      <c r="J24" s="36">
        <f>IFERROR(Calculations!$P14/12,"")</f>
        <v>12777.77777777778</v>
      </c>
      <c r="K24" s="36">
        <f>IFERROR(Calculations!$P14/12,"")</f>
        <v>12777.77777777778</v>
      </c>
      <c r="L24" s="36">
        <f>IFERROR(Calculations!$P14/12,"")</f>
        <v>12777.77777777778</v>
      </c>
      <c r="M24" s="36">
        <f>IFERROR(Calculations!$P14/12,"")</f>
        <v>12777.77777777778</v>
      </c>
      <c r="N24" s="36">
        <f>IFERROR(Calculations!$P14/12,"")</f>
        <v>12777.77777777778</v>
      </c>
      <c r="O24" s="36">
        <f>IFERROR(Calculations!$P14/12,"")</f>
        <v>12777.77777777778</v>
      </c>
      <c r="P24" s="36">
        <f>IFERROR(Calculations!$P14/12,"")</f>
        <v>12777.77777777778</v>
      </c>
      <c r="Q24" s="36">
        <f>IFERROR(Calculations!$P14/12,"")</f>
        <v>12777.77777777778</v>
      </c>
      <c r="R24" s="36">
        <f>IFERROR(Calculations!$P14/12,"")</f>
        <v>12777.77777777778</v>
      </c>
      <c r="S24" s="36">
        <f>IFERROR(Calculations!$P14/12,"")</f>
        <v>12777.77777777778</v>
      </c>
      <c r="T24" s="36">
        <f>IFERROR(Calculations!$P14/12,"")</f>
        <v>12777.77777777778</v>
      </c>
      <c r="U24" s="36">
        <f>IFERROR(Calculations!$P14/12,"")</f>
        <v>12777.77777777778</v>
      </c>
      <c r="V24" s="36">
        <f>IFERROR(Calculations!$P14/12,"")</f>
        <v>12777.77777777778</v>
      </c>
      <c r="W24" s="36">
        <f>IFERROR(Calculations!$P14/12,"")</f>
        <v>12777.77777777778</v>
      </c>
      <c r="X24" s="36">
        <f>IFERROR(Calculations!$P14/12,"")</f>
        <v>12777.77777777778</v>
      </c>
      <c r="Y24" s="36">
        <f>IFERROR(Calculations!$P14/12,"")</f>
        <v>12777.77777777778</v>
      </c>
      <c r="Z24" s="36">
        <f>SUMIF($B$13:$Y$13,"Yes",B24:Y24)</f>
        <v>166111.1111111111</v>
      </c>
      <c r="AA24" s="36">
        <f>SUM(B24:M24)</f>
        <v>153333.3333333333</v>
      </c>
      <c r="AB24" s="46">
        <f>SUM(B24:Y24)</f>
        <v>306666.6666666666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4166.666666666667</v>
      </c>
      <c r="C25" s="36">
        <f>IFERROR(Calculations!$P15/12,"")</f>
        <v>4166.666666666667</v>
      </c>
      <c r="D25" s="36">
        <f>IFERROR(Calculations!$P15/12,"")</f>
        <v>4166.666666666667</v>
      </c>
      <c r="E25" s="36">
        <f>IFERROR(Calculations!$P15/12,"")</f>
        <v>4166.666666666667</v>
      </c>
      <c r="F25" s="36">
        <f>IFERROR(Calculations!$P15/12,"")</f>
        <v>4166.666666666667</v>
      </c>
      <c r="G25" s="36">
        <f>IFERROR(Calculations!$P15/12,"")</f>
        <v>4166.666666666667</v>
      </c>
      <c r="H25" s="36">
        <f>IFERROR(Calculations!$P15/12,"")</f>
        <v>4166.666666666667</v>
      </c>
      <c r="I25" s="36">
        <f>IFERROR(Calculations!$P15/12,"")</f>
        <v>4166.666666666667</v>
      </c>
      <c r="J25" s="36">
        <f>IFERROR(Calculations!$P15/12,"")</f>
        <v>4166.666666666667</v>
      </c>
      <c r="K25" s="36">
        <f>IFERROR(Calculations!$P15/12,"")</f>
        <v>4166.666666666667</v>
      </c>
      <c r="L25" s="36">
        <f>IFERROR(Calculations!$P15/12,"")</f>
        <v>4166.666666666667</v>
      </c>
      <c r="M25" s="36">
        <f>IFERROR(Calculations!$P15/12,"")</f>
        <v>4166.666666666667</v>
      </c>
      <c r="N25" s="36">
        <f>IFERROR(Calculations!$P15/12,"")</f>
        <v>4166.666666666667</v>
      </c>
      <c r="O25" s="36">
        <f>IFERROR(Calculations!$P15/12,"")</f>
        <v>4166.666666666667</v>
      </c>
      <c r="P25" s="36">
        <f>IFERROR(Calculations!$P15/12,"")</f>
        <v>4166.666666666667</v>
      </c>
      <c r="Q25" s="36">
        <f>IFERROR(Calculations!$P15/12,"")</f>
        <v>4166.666666666667</v>
      </c>
      <c r="R25" s="36">
        <f>IFERROR(Calculations!$P15/12,"")</f>
        <v>4166.666666666667</v>
      </c>
      <c r="S25" s="36">
        <f>IFERROR(Calculations!$P15/12,"")</f>
        <v>4166.666666666667</v>
      </c>
      <c r="T25" s="36">
        <f>IFERROR(Calculations!$P15/12,"")</f>
        <v>4166.666666666667</v>
      </c>
      <c r="U25" s="36">
        <f>IFERROR(Calculations!$P15/12,"")</f>
        <v>4166.666666666667</v>
      </c>
      <c r="V25" s="36">
        <f>IFERROR(Calculations!$P15/12,"")</f>
        <v>4166.666666666667</v>
      </c>
      <c r="W25" s="36">
        <f>IFERROR(Calculations!$P15/12,"")</f>
        <v>4166.666666666667</v>
      </c>
      <c r="X25" s="36">
        <f>IFERROR(Calculations!$P15/12,"")</f>
        <v>4166.666666666667</v>
      </c>
      <c r="Y25" s="36">
        <f>IFERROR(Calculations!$P15/12,"")</f>
        <v>4166.666666666667</v>
      </c>
      <c r="Z25" s="36">
        <f>SUMIF($B$13:$Y$13,"Yes",B25:Y25)</f>
        <v>54166.66666666666</v>
      </c>
      <c r="AA25" s="36">
        <f>SUM(B25:M25)</f>
        <v>49999.99999999999</v>
      </c>
      <c r="AB25" s="46">
        <f>SUM(B25:Y25)</f>
        <v>100000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31944.44444444445</v>
      </c>
      <c r="C30" s="19">
        <f>SUM(C18:C29)</f>
        <v>31944.44444444445</v>
      </c>
      <c r="D30" s="19">
        <f>SUM(D18:D29)</f>
        <v>31944.44444444445</v>
      </c>
      <c r="E30" s="19">
        <f>SUM(E18:E29)</f>
        <v>31944.44444444445</v>
      </c>
      <c r="F30" s="19">
        <f>SUM(F18:F29)</f>
        <v>31944.44444444445</v>
      </c>
      <c r="G30" s="19">
        <f>SUM(G18:G29)</f>
        <v>381287.88171569</v>
      </c>
      <c r="H30" s="19">
        <f>SUM(H18:H29)</f>
        <v>107723.9118600271</v>
      </c>
      <c r="I30" s="19">
        <f>SUM(I18:I29)</f>
        <v>122879.8053431436</v>
      </c>
      <c r="J30" s="19">
        <f>SUM(J18:J29)</f>
        <v>31944.44444444445</v>
      </c>
      <c r="K30" s="19">
        <f>SUM(K18:K29)</f>
        <v>31944.44444444445</v>
      </c>
      <c r="L30" s="19">
        <f>SUM(L18:L29)</f>
        <v>31944.44444444445</v>
      </c>
      <c r="M30" s="19">
        <f>SUM(M18:M29)</f>
        <v>381287.88171569</v>
      </c>
      <c r="N30" s="19">
        <f>SUM(N18:N29)</f>
        <v>31944.44444444445</v>
      </c>
      <c r="O30" s="19">
        <f>SUM(O18:O29)</f>
        <v>31944.44444444445</v>
      </c>
      <c r="P30" s="19">
        <f>SUM(P18:P29)</f>
        <v>31944.44444444445</v>
      </c>
      <c r="Q30" s="19">
        <f>SUM(Q18:Q29)</f>
        <v>31944.44444444445</v>
      </c>
      <c r="R30" s="19">
        <f>SUM(R18:R29)</f>
        <v>31944.44444444445</v>
      </c>
      <c r="S30" s="19">
        <f>SUM(S18:S29)</f>
        <v>381287.88171569</v>
      </c>
      <c r="T30" s="19">
        <f>SUM(T18:T29)</f>
        <v>107723.9118600271</v>
      </c>
      <c r="U30" s="19">
        <f>SUM(U18:U29)</f>
        <v>122879.8053431436</v>
      </c>
      <c r="V30" s="19">
        <f>SUM(V18:V29)</f>
        <v>31944.44444444445</v>
      </c>
      <c r="W30" s="19">
        <f>SUM(W18:W29)</f>
        <v>31944.44444444445</v>
      </c>
      <c r="X30" s="19">
        <f>SUM(X18:X29)</f>
        <v>31944.44444444445</v>
      </c>
      <c r="Y30" s="19">
        <f>SUM(Y18:Y29)</f>
        <v>381287.88171569</v>
      </c>
      <c r="Z30" s="19">
        <f>SUMIF($B$13:$Y$13,"Yes",B30:Y30)</f>
        <v>1280679.480634551</v>
      </c>
      <c r="AA30" s="19">
        <f>SUM(B30:M30)</f>
        <v>1248735.036190106</v>
      </c>
      <c r="AB30" s="19">
        <f>SUM(B30:Y30)</f>
        <v>2497470.072380213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16000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33224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30800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33224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30800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97248</v>
      </c>
      <c r="AA42" s="36">
        <f>SUM(B42:M42)</f>
        <v>64024</v>
      </c>
      <c r="AB42" s="36">
        <f>SUM(B42:Y42)</f>
        <v>128048</v>
      </c>
    </row>
    <row r="43" spans="1:30" hidden="true" outlineLevel="1">
      <c r="A43" s="181" t="str">
        <f>Calculations!$A$4</f>
        <v>Maize</v>
      </c>
      <c r="B43" s="36">
        <f>N43</f>
        <v>2424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2424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4848.000000000001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 t="str">
        <f>Calculations!$A$5</f>
        <v>Wheat</v>
      </c>
      <c r="B44" s="36">
        <f>N44</f>
        <v>30800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30800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30800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30800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92400</v>
      </c>
      <c r="AA44" s="36">
        <f>SUM(B44:M44)</f>
        <v>61600</v>
      </c>
      <c r="AB44" s="36">
        <f>SUM(B44:Y44)</f>
        <v>123200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74400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72000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74400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72000</v>
      </c>
      <c r="X48" s="46">
        <f>SUM(X49:X53)</f>
        <v>0</v>
      </c>
      <c r="Y48" s="46">
        <f>SUM(Y49:Y53)</f>
        <v>0</v>
      </c>
      <c r="Z48" s="46">
        <f>SUMIF($B$13:$Y$13,"Yes",B48:Y48)</f>
        <v>146400</v>
      </c>
      <c r="AA48" s="46">
        <f>SUM(B48:M48)</f>
        <v>146400</v>
      </c>
      <c r="AB48" s="46">
        <f>SUM(B48:Y48)</f>
        <v>292800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2400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2400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2400</v>
      </c>
      <c r="AB49" s="46">
        <f>SUM(B49:Y49)</f>
        <v>4800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72000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72000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72000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72000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144000</v>
      </c>
      <c r="AA50" s="46">
        <f>SUM(B50:M50)</f>
        <v>144000</v>
      </c>
      <c r="AB50" s="46">
        <f>SUM(B50:Y50)</f>
        <v>288000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34945.91981069475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34945.91981069475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34945.91981069475</v>
      </c>
      <c r="AA54" s="46">
        <f>SUM(B54:M54)</f>
        <v>34945.91981069475</v>
      </c>
      <c r="AB54" s="46">
        <f>SUM(B54:Y54)</f>
        <v>69891.8396213895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34945.91981069475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34945.91981069475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34945.91981069475</v>
      </c>
      <c r="AA55" s="46">
        <f>SUM(B55:M55)</f>
        <v>34945.91981069475</v>
      </c>
      <c r="AB55" s="46">
        <f>SUM(B55:Y55)</f>
        <v>69891.8396213895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27308.57142857143</v>
      </c>
      <c r="C66" s="36">
        <f>O66</f>
        <v>27308.57142857143</v>
      </c>
      <c r="D66" s="36">
        <f>P66</f>
        <v>27308.57142857143</v>
      </c>
      <c r="E66" s="36">
        <f>Q66</f>
        <v>27308.57142857143</v>
      </c>
      <c r="F66" s="36">
        <f>R66</f>
        <v>27308.57142857143</v>
      </c>
      <c r="G66" s="36">
        <f>S66</f>
        <v>27308.57142857143</v>
      </c>
      <c r="H66" s="36">
        <f>T66</f>
        <v>27308.57142857143</v>
      </c>
      <c r="I66" s="36">
        <f>U66</f>
        <v>16200</v>
      </c>
      <c r="J66" s="36">
        <f>V66</f>
        <v>16200</v>
      </c>
      <c r="K66" s="36">
        <f>W66</f>
        <v>16200</v>
      </c>
      <c r="L66" s="36">
        <f>X66</f>
        <v>16200</v>
      </c>
      <c r="M66" s="36">
        <f>Y66</f>
        <v>16200</v>
      </c>
      <c r="N66" s="46">
        <f>SUM(N67:N71)</f>
        <v>27308.57142857143</v>
      </c>
      <c r="O66" s="46">
        <f>SUM(O67:O71)</f>
        <v>27308.57142857143</v>
      </c>
      <c r="P66" s="46">
        <f>SUM(P67:P71)</f>
        <v>27308.57142857143</v>
      </c>
      <c r="Q66" s="46">
        <f>SUM(Q67:Q71)</f>
        <v>27308.57142857143</v>
      </c>
      <c r="R66" s="46">
        <f>SUM(R67:R71)</f>
        <v>27308.57142857143</v>
      </c>
      <c r="S66" s="46">
        <f>SUM(S67:S71)</f>
        <v>27308.57142857143</v>
      </c>
      <c r="T66" s="46">
        <f>SUM(T67:T71)</f>
        <v>27308.57142857143</v>
      </c>
      <c r="U66" s="46">
        <f>SUM(U67:U71)</f>
        <v>16200</v>
      </c>
      <c r="V66" s="46">
        <f>SUM(V67:V71)</f>
        <v>16200</v>
      </c>
      <c r="W66" s="46">
        <f>SUM(W67:W71)</f>
        <v>16200</v>
      </c>
      <c r="X66" s="46">
        <f>SUM(X67:X71)</f>
        <v>16200</v>
      </c>
      <c r="Y66" s="46">
        <f>SUM(Y67:Y71)</f>
        <v>16200</v>
      </c>
      <c r="Z66" s="46">
        <f>SUMIF($B$13:$Y$13,"Yes",B66:Y66)</f>
        <v>299468.5714285714</v>
      </c>
      <c r="AA66" s="46">
        <f>SUM(B66:M66)</f>
        <v>272160</v>
      </c>
      <c r="AB66" s="46">
        <f>SUM(B66:Y66)</f>
        <v>544320</v>
      </c>
    </row>
    <row r="67" spans="1:30" hidden="true" outlineLevel="1">
      <c r="A67" s="181" t="str">
        <f>Calculations!$A$4</f>
        <v>Maize</v>
      </c>
      <c r="B67" s="36">
        <f>N67</f>
        <v>11108.57142857143</v>
      </c>
      <c r="C67" s="36">
        <f>O67</f>
        <v>11108.57142857143</v>
      </c>
      <c r="D67" s="36">
        <f>P67</f>
        <v>11108.57142857143</v>
      </c>
      <c r="E67" s="36">
        <f>Q67</f>
        <v>11108.57142857143</v>
      </c>
      <c r="F67" s="36">
        <f>R67</f>
        <v>11108.57142857143</v>
      </c>
      <c r="G67" s="36">
        <f>S67</f>
        <v>11108.57142857143</v>
      </c>
      <c r="H67" s="36">
        <f>T67</f>
        <v>11108.57142857143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11108.57142857143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11108.57142857143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11108.57142857143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11108.57142857143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11108.57142857143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11108.57142857143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11108.57142857143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88868.57142857145</v>
      </c>
      <c r="AA67" s="46">
        <f>SUM(B67:M67)</f>
        <v>77760.00000000001</v>
      </c>
      <c r="AB67" s="46">
        <f>SUM(B67:Y67)</f>
        <v>155520</v>
      </c>
    </row>
    <row r="68" spans="1:30" hidden="true" outlineLevel="1">
      <c r="A68" s="181" t="str">
        <f>Calculations!$A$5</f>
        <v>Wheat</v>
      </c>
      <c r="B68" s="36">
        <f>N68</f>
        <v>16200</v>
      </c>
      <c r="C68" s="36">
        <f>O68</f>
        <v>16200</v>
      </c>
      <c r="D68" s="36">
        <f>P68</f>
        <v>16200</v>
      </c>
      <c r="E68" s="36">
        <f>Q68</f>
        <v>16200</v>
      </c>
      <c r="F68" s="36">
        <f>R68</f>
        <v>16200</v>
      </c>
      <c r="G68" s="36">
        <f>S68</f>
        <v>16200</v>
      </c>
      <c r="H68" s="36">
        <f>T68</f>
        <v>16200</v>
      </c>
      <c r="I68" s="36">
        <f>U68</f>
        <v>16200</v>
      </c>
      <c r="J68" s="36">
        <f>V68</f>
        <v>16200</v>
      </c>
      <c r="K68" s="36">
        <f>W68</f>
        <v>16200</v>
      </c>
      <c r="L68" s="36">
        <f>X68</f>
        <v>16200</v>
      </c>
      <c r="M68" s="36">
        <f>Y68</f>
        <v>16200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16200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16200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16200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16200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16200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16200</v>
      </c>
      <c r="Z68" s="46">
        <f>SUMIF($B$13:$Y$13,"Yes",B68:Y68)</f>
        <v>210600</v>
      </c>
      <c r="AA68" s="46">
        <f>SUM(B68:M68)</f>
        <v>194400</v>
      </c>
      <c r="AB68" s="46">
        <f>SUM(B68:Y68)</f>
        <v>388800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1833.333333333333</v>
      </c>
      <c r="C75" s="46">
        <f>SUM(Calculations!$R$14:$R$16)/12</f>
        <v>1833.333333333333</v>
      </c>
      <c r="D75" s="46">
        <f>SUM(Calculations!$R$14:$R$16)/12</f>
        <v>1833.333333333333</v>
      </c>
      <c r="E75" s="46">
        <f>SUM(Calculations!$R$14:$R$16)/12</f>
        <v>1833.333333333333</v>
      </c>
      <c r="F75" s="46">
        <f>SUM(Calculations!$R$14:$R$16)/12</f>
        <v>1833.333333333333</v>
      </c>
      <c r="G75" s="46">
        <f>SUM(Calculations!$R$14:$R$16)/12</f>
        <v>1833.333333333333</v>
      </c>
      <c r="H75" s="46">
        <f>SUM(Calculations!$R$14:$R$16)/12</f>
        <v>1833.333333333333</v>
      </c>
      <c r="I75" s="46">
        <f>SUM(Calculations!$R$14:$R$16)/12</f>
        <v>1833.333333333333</v>
      </c>
      <c r="J75" s="46">
        <f>SUM(Calculations!$R$14:$R$16)/12</f>
        <v>1833.333333333333</v>
      </c>
      <c r="K75" s="46">
        <f>SUM(Calculations!$R$14:$R$16)/12</f>
        <v>1833.333333333333</v>
      </c>
      <c r="L75" s="46">
        <f>SUM(Calculations!$R$14:$R$16)/12</f>
        <v>1833.333333333333</v>
      </c>
      <c r="M75" s="46">
        <f>SUM(Calculations!$R$14:$R$16)/12</f>
        <v>1833.333333333333</v>
      </c>
      <c r="N75" s="46">
        <f>SUM(Calculations!$R$14:$R$16)/12</f>
        <v>1833.333333333333</v>
      </c>
      <c r="O75" s="46">
        <f>SUM(Calculations!$R$14:$R$16)/12</f>
        <v>1833.333333333333</v>
      </c>
      <c r="P75" s="46">
        <f>SUM(Calculations!$R$14:$R$16)/12</f>
        <v>1833.333333333333</v>
      </c>
      <c r="Q75" s="46">
        <f>SUM(Calculations!$R$14:$R$16)/12</f>
        <v>1833.333333333333</v>
      </c>
      <c r="R75" s="46">
        <f>SUM(Calculations!$R$14:$R$16)/12</f>
        <v>1833.333333333333</v>
      </c>
      <c r="S75" s="46">
        <f>SUM(Calculations!$R$14:$R$16)/12</f>
        <v>1833.333333333333</v>
      </c>
      <c r="T75" s="46">
        <f>SUM(Calculations!$R$14:$R$16)/12</f>
        <v>1833.333333333333</v>
      </c>
      <c r="U75" s="46">
        <f>SUM(Calculations!$R$14:$R$16)/12</f>
        <v>1833.333333333333</v>
      </c>
      <c r="V75" s="46">
        <f>SUM(Calculations!$R$14:$R$16)/12</f>
        <v>1833.333333333333</v>
      </c>
      <c r="W75" s="46">
        <f>SUM(Calculations!$R$14:$R$16)/12</f>
        <v>1833.333333333333</v>
      </c>
      <c r="X75" s="46">
        <f>SUM(Calculations!$R$14:$R$16)/12</f>
        <v>1833.333333333333</v>
      </c>
      <c r="Y75" s="46">
        <f>SUM(Calculations!$R$14:$R$16)/12</f>
        <v>1833.333333333333</v>
      </c>
      <c r="Z75" s="46">
        <f>SUMIF($B$13:$Y$13,"Yes",B75:Y75)</f>
        <v>23833.33333333333</v>
      </c>
      <c r="AA75" s="46">
        <f>SUM(B75:M75)</f>
        <v>22000</v>
      </c>
      <c r="AB75" s="46">
        <f>SUM(B75:Y75)</f>
        <v>44000.00000000001</v>
      </c>
    </row>
    <row r="76" spans="1:30">
      <c r="A76" s="16" t="s">
        <v>48</v>
      </c>
      <c r="B76" s="46">
        <f>SUM(Calculations!$S$14:$S$16)/12</f>
        <v>2416.666666666667</v>
      </c>
      <c r="C76" s="46">
        <f>SUM(Calculations!$S$14:$S$16)/12</f>
        <v>2416.666666666667</v>
      </c>
      <c r="D76" s="46">
        <f>SUM(Calculations!$S$14:$S$16)/12</f>
        <v>2416.666666666667</v>
      </c>
      <c r="E76" s="46">
        <f>SUM(Calculations!$S$14:$S$16)/12</f>
        <v>2416.666666666667</v>
      </c>
      <c r="F76" s="46">
        <f>SUM(Calculations!$S$14:$S$16)/12</f>
        <v>2416.666666666667</v>
      </c>
      <c r="G76" s="46">
        <f>SUM(Calculations!$S$14:$S$16)/12</f>
        <v>2416.666666666667</v>
      </c>
      <c r="H76" s="46">
        <f>SUM(Calculations!$S$14:$S$16)/12</f>
        <v>2416.666666666667</v>
      </c>
      <c r="I76" s="46">
        <f>SUM(Calculations!$S$14:$S$16)/12</f>
        <v>2416.666666666667</v>
      </c>
      <c r="J76" s="46">
        <f>SUM(Calculations!$S$14:$S$16)/12</f>
        <v>2416.666666666667</v>
      </c>
      <c r="K76" s="46">
        <f>SUM(Calculations!$S$14:$S$16)/12</f>
        <v>2416.666666666667</v>
      </c>
      <c r="L76" s="46">
        <f>SUM(Calculations!$S$14:$S$16)/12</f>
        <v>2416.666666666667</v>
      </c>
      <c r="M76" s="46">
        <f>SUM(Calculations!$S$14:$S$16)/12</f>
        <v>2416.666666666667</v>
      </c>
      <c r="N76" s="46">
        <f>SUM(Calculations!$S$14:$S$16)/12</f>
        <v>2416.666666666667</v>
      </c>
      <c r="O76" s="46">
        <f>SUM(Calculations!$S$14:$S$16)/12</f>
        <v>2416.666666666667</v>
      </c>
      <c r="P76" s="46">
        <f>SUM(Calculations!$S$14:$S$16)/12</f>
        <v>2416.666666666667</v>
      </c>
      <c r="Q76" s="46">
        <f>SUM(Calculations!$S$14:$S$16)/12</f>
        <v>2416.666666666667</v>
      </c>
      <c r="R76" s="46">
        <f>SUM(Calculations!$S$14:$S$16)/12</f>
        <v>2416.666666666667</v>
      </c>
      <c r="S76" s="46">
        <f>SUM(Calculations!$S$14:$S$16)/12</f>
        <v>2416.666666666667</v>
      </c>
      <c r="T76" s="46">
        <f>SUM(Calculations!$S$14:$S$16)/12</f>
        <v>2416.666666666667</v>
      </c>
      <c r="U76" s="46">
        <f>SUM(Calculations!$S$14:$S$16)/12</f>
        <v>2416.666666666667</v>
      </c>
      <c r="V76" s="46">
        <f>SUM(Calculations!$S$14:$S$16)/12</f>
        <v>2416.666666666667</v>
      </c>
      <c r="W76" s="46">
        <f>SUM(Calculations!$S$14:$S$16)/12</f>
        <v>2416.666666666667</v>
      </c>
      <c r="X76" s="46">
        <f>SUM(Calculations!$S$14:$S$16)/12</f>
        <v>2416.666666666667</v>
      </c>
      <c r="Y76" s="46">
        <f>SUM(Calculations!$S$14:$S$16)/12</f>
        <v>2416.666666666667</v>
      </c>
      <c r="Z76" s="46">
        <f>SUMIF($B$13:$Y$13,"Yes",B76:Y76)</f>
        <v>31416.66666666667</v>
      </c>
      <c r="AA76" s="46">
        <f>SUM(B76:M76)</f>
        <v>29000</v>
      </c>
      <c r="AB76" s="46">
        <f>SUM(B76:Y76)</f>
        <v>57999.99999999998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19740.17054598038</v>
      </c>
      <c r="C81" s="46">
        <f>(SUM($AA$18:$AA$29)-SUM($AA$36,$AA$42,$AA$48,$AA$54,$AA$60,$AA$66,$AA$72:$AA$79))*Parameters!$B$37/12</f>
        <v>19740.17054598038</v>
      </c>
      <c r="D81" s="46">
        <f>(SUM($AA$18:$AA$29)-SUM($AA$36,$AA$42,$AA$48,$AA$54,$AA$60,$AA$66,$AA$72:$AA$79))*Parameters!$B$37/12</f>
        <v>19740.17054598038</v>
      </c>
      <c r="E81" s="46">
        <f>(SUM($AA$18:$AA$29)-SUM($AA$36,$AA$42,$AA$48,$AA$54,$AA$60,$AA$66,$AA$72:$AA$79))*Parameters!$B$37/12</f>
        <v>19740.17054598038</v>
      </c>
      <c r="F81" s="46">
        <f>(SUM($AA$18:$AA$29)-SUM($AA$36,$AA$42,$AA$48,$AA$54,$AA$60,$AA$66,$AA$72:$AA$79))*Parameters!$B$37/12</f>
        <v>19740.17054598038</v>
      </c>
      <c r="G81" s="46">
        <f>(SUM($AA$18:$AA$29)-SUM($AA$36,$AA$42,$AA$48,$AA$54,$AA$60,$AA$66,$AA$72:$AA$79))*Parameters!$B$37/12</f>
        <v>19740.17054598038</v>
      </c>
      <c r="H81" s="46">
        <f>(SUM($AA$18:$AA$29)-SUM($AA$36,$AA$42,$AA$48,$AA$54,$AA$60,$AA$66,$AA$72:$AA$79))*Parameters!$B$37/12</f>
        <v>19740.17054598038</v>
      </c>
      <c r="I81" s="46">
        <f>(SUM($AA$18:$AA$29)-SUM($AA$36,$AA$42,$AA$48,$AA$54,$AA$60,$AA$66,$AA$72:$AA$79))*Parameters!$B$37/12</f>
        <v>19740.17054598038</v>
      </c>
      <c r="J81" s="46">
        <f>(SUM($AA$18:$AA$29)-SUM($AA$36,$AA$42,$AA$48,$AA$54,$AA$60,$AA$66,$AA$72:$AA$79))*Parameters!$B$37/12</f>
        <v>19740.17054598038</v>
      </c>
      <c r="K81" s="46">
        <f>(SUM($AA$18:$AA$29)-SUM($AA$36,$AA$42,$AA$48,$AA$54,$AA$60,$AA$66,$AA$72:$AA$79))*Parameters!$B$37/12</f>
        <v>19740.17054598038</v>
      </c>
      <c r="L81" s="46">
        <f>(SUM($AA$18:$AA$29)-SUM($AA$36,$AA$42,$AA$48,$AA$54,$AA$60,$AA$66,$AA$72:$AA$79))*Parameters!$B$37/12</f>
        <v>19740.17054598038</v>
      </c>
      <c r="M81" s="46">
        <f>(SUM($AA$18:$AA$29)-SUM($AA$36,$AA$42,$AA$48,$AA$54,$AA$60,$AA$66,$AA$72:$AA$79))*Parameters!$B$37/12</f>
        <v>19740.17054598038</v>
      </c>
      <c r="N81" s="46">
        <f>(SUM($AA$18:$AA$29)-SUM($AA$36,$AA$42,$AA$48,$AA$54,$AA$60,$AA$66,$AA$72:$AA$79))*Parameters!$B$37/12</f>
        <v>19740.17054598038</v>
      </c>
      <c r="O81" s="46">
        <f>(SUM($AA$18:$AA$29)-SUM($AA$36,$AA$42,$AA$48,$AA$54,$AA$60,$AA$66,$AA$72:$AA$79))*Parameters!$B$37/12</f>
        <v>19740.17054598038</v>
      </c>
      <c r="P81" s="46">
        <f>(SUM($AA$18:$AA$29)-SUM($AA$36,$AA$42,$AA$48,$AA$54,$AA$60,$AA$66,$AA$72:$AA$79))*Parameters!$B$37/12</f>
        <v>19740.17054598038</v>
      </c>
      <c r="Q81" s="46">
        <f>(SUM($AA$18:$AA$29)-SUM($AA$36,$AA$42,$AA$48,$AA$54,$AA$60,$AA$66,$AA$72:$AA$79))*Parameters!$B$37/12</f>
        <v>19740.17054598038</v>
      </c>
      <c r="R81" s="46">
        <f>(SUM($AA$18:$AA$29)-SUM($AA$36,$AA$42,$AA$48,$AA$54,$AA$60,$AA$66,$AA$72:$AA$79))*Parameters!$B$37/12</f>
        <v>19740.17054598038</v>
      </c>
      <c r="S81" s="46">
        <f>(SUM($AA$18:$AA$29)-SUM($AA$36,$AA$42,$AA$48,$AA$54,$AA$60,$AA$66,$AA$72:$AA$79))*Parameters!$B$37/12</f>
        <v>19740.17054598038</v>
      </c>
      <c r="T81" s="46">
        <f>(SUM($AA$18:$AA$29)-SUM($AA$36,$AA$42,$AA$48,$AA$54,$AA$60,$AA$66,$AA$72:$AA$79))*Parameters!$B$37/12</f>
        <v>19740.17054598038</v>
      </c>
      <c r="U81" s="46">
        <f>(SUM($AA$18:$AA$29)-SUM($AA$36,$AA$42,$AA$48,$AA$54,$AA$60,$AA$66,$AA$72:$AA$79))*Parameters!$B$37/12</f>
        <v>19740.17054598038</v>
      </c>
      <c r="V81" s="46">
        <f>(SUM($AA$18:$AA$29)-SUM($AA$36,$AA$42,$AA$48,$AA$54,$AA$60,$AA$66,$AA$72:$AA$79))*Parameters!$B$37/12</f>
        <v>19740.17054598038</v>
      </c>
      <c r="W81" s="46">
        <f>(SUM($AA$18:$AA$29)-SUM($AA$36,$AA$42,$AA$48,$AA$54,$AA$60,$AA$66,$AA$72:$AA$79))*Parameters!$B$37/12</f>
        <v>19740.17054598038</v>
      </c>
      <c r="X81" s="46">
        <f>(SUM($AA$18:$AA$29)-SUM($AA$36,$AA$42,$AA$48,$AA$54,$AA$60,$AA$66,$AA$72:$AA$79))*Parameters!$B$37/12</f>
        <v>19740.17054598038</v>
      </c>
      <c r="Y81" s="46">
        <f>(SUM($AA$18:$AA$29)-SUM($AA$36,$AA$42,$AA$48,$AA$54,$AA$60,$AA$66,$AA$72:$AA$79))*Parameters!$B$37/12</f>
        <v>19740.17054598038</v>
      </c>
      <c r="Z81" s="46">
        <f>SUMIF($B$13:$Y$13,"Yes",B81:Y81)</f>
        <v>256622.217097745</v>
      </c>
      <c r="AA81" s="46">
        <f>SUM(B81:M81)</f>
        <v>236882.0465517646</v>
      </c>
      <c r="AB81" s="46">
        <f>SUM(B81:Y81)</f>
        <v>473764.0931035293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106522.7419745518</v>
      </c>
      <c r="C88" s="19">
        <f>SUM(C72:C82,C66,C60,C54,C48,C42,C36)</f>
        <v>57298.74197455181</v>
      </c>
      <c r="D88" s="19">
        <f>SUM(D72:D82,D66,D60,D54,D48,D42,D36)</f>
        <v>57298.74197455181</v>
      </c>
      <c r="E88" s="19">
        <f>SUM(E72:E82,E66,E60,E54,E48,E42,E36)</f>
        <v>131698.7419745518</v>
      </c>
      <c r="F88" s="19">
        <f>SUM(F72:F82,F66,F60,F54,F48,F42,F36)</f>
        <v>57298.74197455181</v>
      </c>
      <c r="G88" s="19">
        <f>SUM(G72:G82,G66,G60,G54,G48,G42,G36)</f>
        <v>57298.74197455181</v>
      </c>
      <c r="H88" s="19">
        <f>SUM(H72:H82,H66,H60,H54,H48,H42,H36)</f>
        <v>123044.6617852466</v>
      </c>
      <c r="I88" s="19">
        <f>SUM(I72:I82,I66,I60,I54,I48,I42,I36)</f>
        <v>46190.17054598038</v>
      </c>
      <c r="J88" s="19">
        <f>SUM(J72:J82,J66,J60,J54,J48,J42,J36)</f>
        <v>46190.17054598038</v>
      </c>
      <c r="K88" s="19">
        <f>SUM(K72:K82,K66,K60,K54,K48,K42,K36)</f>
        <v>118190.1705459804</v>
      </c>
      <c r="L88" s="19">
        <f>SUM(L72:L82,L66,L60,L54,L48,L42,L36)</f>
        <v>46190.17054598038</v>
      </c>
      <c r="M88" s="19">
        <f>SUM(M72:M82,M66,M60,M54,M48,M42,M36)</f>
        <v>46190.17054598038</v>
      </c>
      <c r="N88" s="19">
        <f>SUM(N72:N82,N66,N60,N54,N48,N42,N36)</f>
        <v>106522.7419745518</v>
      </c>
      <c r="O88" s="19">
        <f>SUM(O72:O82,O66,O60,O54,O48,O42,O36)</f>
        <v>57298.74197455181</v>
      </c>
      <c r="P88" s="19">
        <f>SUM(P72:P82,P66,P60,P54,P48,P42,P36)</f>
        <v>57298.74197455181</v>
      </c>
      <c r="Q88" s="19">
        <f>SUM(Q72:Q82,Q66,Q60,Q54,Q48,Q42,Q36)</f>
        <v>131698.7419745518</v>
      </c>
      <c r="R88" s="19">
        <f>SUM(R72:R82,R66,R60,R54,R48,R42,R36)</f>
        <v>57298.74197455181</v>
      </c>
      <c r="S88" s="19">
        <f>SUM(S72:S82,S66,S60,S54,S48,S42,S36)</f>
        <v>57298.74197455181</v>
      </c>
      <c r="T88" s="19">
        <f>SUM(T72:T82,T66,T60,T54,T48,T42,T36)</f>
        <v>123044.6617852466</v>
      </c>
      <c r="U88" s="19">
        <f>SUM(U72:U82,U66,U60,U54,U48,U42,U36)</f>
        <v>46190.17054598038</v>
      </c>
      <c r="V88" s="19">
        <f>SUM(V72:V82,V66,V60,V54,V48,V42,V36)</f>
        <v>46190.17054598038</v>
      </c>
      <c r="W88" s="19">
        <f>SUM(W72:W82,W66,W60,W54,W48,W42,W36)</f>
        <v>118190.1705459804</v>
      </c>
      <c r="X88" s="19">
        <f>SUM(X72:X82,X66,X60,X54,X48,X42,X36)</f>
        <v>46190.17054598038</v>
      </c>
      <c r="Y88" s="19">
        <f>SUM(Y72:Y82,Y66,Y60,Y54,Y48,Y42,Y36)</f>
        <v>46190.17054598038</v>
      </c>
      <c r="Z88" s="19">
        <f>SUMIF($B$13:$Y$13,"Yes",B88:Y88)</f>
        <v>999934.7083370109</v>
      </c>
      <c r="AA88" s="19">
        <f>SUM(B88:M88)</f>
        <v>893411.9663624591</v>
      </c>
      <c r="AB88" s="19">
        <f>SUM(B88:Y88)</f>
        <v>1786823.932724918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3300000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950000</v>
      </c>
    </row>
    <row r="101" spans="1:30" customHeight="1" ht="15.75">
      <c r="A101" s="1" t="s">
        <v>67</v>
      </c>
      <c r="B101" s="19">
        <f>SUM(B94:B100)</f>
        <v>6125000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170000</v>
      </c>
    </row>
    <row r="107" spans="1:30" customHeight="1" ht="15.75">
      <c r="A107" s="1" t="s">
        <v>72</v>
      </c>
      <c r="B107" s="19">
        <f>SUM(B104:B106)</f>
        <v>176000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8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</v>
      </c>
    </row>
    <row r="31" spans="1:48">
      <c r="A31" s="5" t="s">
        <v>119</v>
      </c>
      <c r="B31" s="158">
        <v>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</v>
      </c>
    </row>
    <row r="46" spans="1:48" customHeight="1" ht="30">
      <c r="A46" s="57" t="s">
        <v>133</v>
      </c>
      <c r="B46" s="161">
        <v>350000</v>
      </c>
    </row>
    <row r="47" spans="1:48" customHeight="1" ht="30">
      <c r="A47" s="57" t="s">
        <v>134</v>
      </c>
      <c r="B47" s="161">
        <v>150000</v>
      </c>
    </row>
    <row r="48" spans="1:48" customHeight="1" ht="30">
      <c r="A48" s="57" t="s">
        <v>135</v>
      </c>
      <c r="B48" s="161">
        <v>950000</v>
      </c>
    </row>
    <row r="49" spans="1:48" customHeight="1" ht="30">
      <c r="A49" s="57" t="s">
        <v>136</v>
      </c>
      <c r="B49" s="161">
        <v>325000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170000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43132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7596.939089281468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151558.9348311653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17472.95990534738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8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12796.46290370863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698686.874542491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30800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72000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43002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42971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43032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43009</v>
      </c>
      <c r="F34" t="s">
        <v>155</v>
      </c>
      <c r="G34" s="128">
        <f>IF(Inputs!B80="","",DATE(YEAR(Inputs!B80),MONTH(Inputs!B80),DAY(Inputs!B80)))</f>
        <v>43002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43063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43040</v>
      </c>
      <c r="F35" t="s">
        <v>157</v>
      </c>
      <c r="G35" s="27">
        <f>Inputs!B81</f>
        <v>170000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43093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43070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43124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43101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43155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43132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43183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43160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43214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43191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43244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43221</v>
      </c>
      <c r="F41" t="s">
        <v>221</v>
      </c>
      <c r="G41" s="73">
        <f>IFERROR(G35/(G38-G39),"")</f>
        <v>14166.66666666667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43275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43252</v>
      </c>
      <c r="F42" t="s">
        <v>222</v>
      </c>
      <c r="G42" s="73">
        <f>IFERROR(G35*G36*IF(G37="Monthly",G38/12,IF(G37="Fortnightly",G38/(365/14),G38/(365/28)))/(G38-G40),"")</f>
        <v>2833.333333333333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43305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43336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306</v>
      </c>
      <c r="H52" s="12" t="s">
        <v>130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223</v>
      </c>
      <c r="E53" s="10" t="s">
        <v>182</v>
      </c>
      <c r="F53" s="10" t="s">
        <v>242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160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219</v>
      </c>
      <c r="J76" s="11" t="s">
        <v>340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341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342</v>
      </c>
      <c r="J77" s="136" t="s">
        <v>343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307</v>
      </c>
      <c r="I78" s="12" t="s">
        <v>348</v>
      </c>
      <c r="J78" s="70" t="s">
        <v>349</v>
      </c>
      <c r="K78" s="12" t="s">
        <v>93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160</v>
      </c>
      <c r="J79" s="70" t="s">
        <v>353</v>
      </c>
      <c r="K79" s="12" t="s">
        <v>93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91</v>
      </c>
      <c r="F80" s="12" t="s">
        <v>355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