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<sst xmlns="http://schemas.openxmlformats.org/spreadsheetml/2006/main" uniqueCount="367">
  <si>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</si>
  <si>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</si>
  <si>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</si>
  <si>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</si>
  <si>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</si>
  <si>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</si>
  <si>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</si>
  <si>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</si>
  <si>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</si>
  <si>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</si>
  <si>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</si>
  <si>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</si>
  <si>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</si>
  <si>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</si>
  <si>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</si>
  <si>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</si>
  <si>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</si>
  <si>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</si>
  <si>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</si>
  <si>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</si>
  <si>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</si>
  <si>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</si>
  <si>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</si>
  <si>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</si>
  <si>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</si>
  <si>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</si>
  <si>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</si>
  <si>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</si>
  <si>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</si>
  <si>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</si>
  <si>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</si>
  <si>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</si>
  <si>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</si>
  <si>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</si>
  <si>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</si>
  <si>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</si>
  <si>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</si>
  <si>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</si>
  <si>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</si>
  <si>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</si>
  <si>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</si>
  <si>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</si>
  <si>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</si>
  <si>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</si>
  <si>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</si>
  <si>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</si>
  <si>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</si>
  <si>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</si>
  <si>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</si>
  <si>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</si>
  <si>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</si>
  <si>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</si>
  <si>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</si>
  <si>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</si>
  <si>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</si>
  <si>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</si>
  <si>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</si>
  <si>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</si>
  <si>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</si>
  <si>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</si>
  <si>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</si>
  <si>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</si>
  <si>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</si>
  <si>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</si>
  <si>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</si>
  <si>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</si>
  <si>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</si>
  <si>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</si>
  <si>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</si>
  <si>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</si>
  <si>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</si>
  <si>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</si>
  <si>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</si>
  <si>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</si>
  <si>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</si>
  <si>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</si>
  <si>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</si>
  <si>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</si>
  <si>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</si>
  <si>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</si>
  <si>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</si>
  <si>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</si>
  <si>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</si>
  <si>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</si>
  <si>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</si>
  <si>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</si>
  <si>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</si>
  <si>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</si>
  <si>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</si>
  <si>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</si>
  <si>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</si>
  <si>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</si>
  <si>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</si>
  <si>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</si>
  <si>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September</t>
  </si>
  <si>
    <t>Other crops</t>
  </si>
  <si>
    <t>Home recycled</t>
  </si>
  <si>
    <t>Wheat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</si>
  <si>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</si>
  <si>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</si>
  <si>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</si>
  <si>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</si>
  <si>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</si>
  <si>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</si>
  <si>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</si>
  <si>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</si>
  <si>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</si>
  <si>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</si>
  <si>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</si>
  <si>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</si>
  <si>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</si>
  <si>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</si>
  <si>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</si>
  <si>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</si>
  <si>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</si>
  <si>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</si>
  <si>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Art Gallery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</si>
  <si>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</si>
  <si>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</si>
  <si>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</si>
  <si>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</si>
  <si>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</si>
  <si>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</si>
  <si>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</si>
  <si>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</si>
  <si>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</si>
  <si>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</si>
  <si>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</si>
  <si>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</si>
  <si>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</si>
  <si>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</si>
  <si>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</si>
  <si>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</si>
  <si>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</si>
  <si>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</si>
  <si>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</si>
  <si>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</si>
  <si>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</si>
  <si>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</si>
  <si>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</si>
  <si>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</si>
  <si>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</si>
  <si>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</si>
  <si>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</si>
  <si>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</si>
  <si>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</si>
  <si>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</si>
  <si>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</si>
  <si>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</si>
  <si>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</si>
  <si>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</si>
  <si>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</si>
  <si>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</si>
  <si>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</si>
  <si>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</si>
  <si>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2017/8/24</t>
  </si>
  <si>
    <t>Loan terms</t>
  </si>
  <si>
    <t>Expected disbursement date</t>
  </si>
  <si>
    <t>2017/8/31</t>
  </si>
  <si>
    <t>Expected first repayment date</t>
  </si>
  <si>
    <t>2017/9/24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</si>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</sst>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Wheat,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Art Gallery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0.4541197943720525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0.422713466081674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458333.3333333334</v>
      </c>
    </row>
    <row r="17" spans="1:7">
      <c r="B17" s="1" t="s">
        <v>11</v>
      </c>
      <c r="C17" s="36">
        <f>SUM(Output!B6:M6)</f>
        <v>4268867.319992784</v>
      </c>
    </row>
    <row r="18" spans="1:7">
      <c r="B18" s="1" t="s">
        <v>12</v>
      </c>
      <c r="C18" s="36">
        <f>MIN(Output!B6:M6)</f>
        <v>-2446659.295555155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2741333.654826881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2121237.18739013</v>
      </c>
      <c r="C6" s="51">
        <f>C30-C88</f>
        <v>-2446659.295555155</v>
      </c>
      <c r="D6" s="51">
        <f>D30-D88</f>
        <v>-134159.2955551548</v>
      </c>
      <c r="E6" s="51">
        <f>E30-E88</f>
        <v>-263159.2955551548</v>
      </c>
      <c r="F6" s="51">
        <f>F30-F88</f>
        <v>-584159.2955551548</v>
      </c>
      <c r="G6" s="51">
        <f>G30-G88</f>
        <v>2741333.654826881</v>
      </c>
      <c r="H6" s="51">
        <f>H30-H88</f>
        <v>2121237.18739013</v>
      </c>
      <c r="I6" s="51">
        <f>I30-I88</f>
        <v>-1046659.295555155</v>
      </c>
      <c r="J6" s="51">
        <f>J30-J88</f>
        <v>-134159.2955551548</v>
      </c>
      <c r="K6" s="51">
        <f>K30-K88</f>
        <v>-263159.2955551548</v>
      </c>
      <c r="L6" s="51">
        <f>L30-L88</f>
        <v>-584159.2955551548</v>
      </c>
      <c r="M6" s="51">
        <f>M30-M88</f>
        <v>2741333.654826881</v>
      </c>
      <c r="N6" s="51">
        <f>N30-N88</f>
        <v>2121237.18739013</v>
      </c>
      <c r="O6" s="51">
        <f>O30-O88</f>
        <v>-2446659.295555155</v>
      </c>
      <c r="P6" s="51">
        <f>P30-P88</f>
        <v>-134159.2955551548</v>
      </c>
      <c r="Q6" s="51">
        <f>Q30-Q88</f>
        <v>-263159.2955551548</v>
      </c>
      <c r="R6" s="51">
        <f>R30-R88</f>
        <v>-584159.2955551548</v>
      </c>
      <c r="S6" s="51">
        <f>S30-S88</f>
        <v>2741333.654826881</v>
      </c>
      <c r="T6" s="51">
        <f>T30-T88</f>
        <v>2121237.18739013</v>
      </c>
      <c r="U6" s="51">
        <f>U30-U88</f>
        <v>-1046659.295555155</v>
      </c>
      <c r="V6" s="51">
        <f>V30-V88</f>
        <v>-134159.2955551548</v>
      </c>
      <c r="W6" s="51">
        <f>W30-W88</f>
        <v>-263159.2955551548</v>
      </c>
      <c r="X6" s="51">
        <f>X30-X88</f>
        <v>-584159.2955551548</v>
      </c>
      <c r="Y6" s="51">
        <f>Y30-Y88</f>
        <v>2741333.654826881</v>
      </c>
      <c r="Z6" s="51">
        <f>SUMIF($B$13:$Y$13,"Yes",B6:Y6)</f>
        <v>3555670.847386522</v>
      </c>
      <c r="AA6" s="51">
        <f>AA30-AA88</f>
        <v>4268867.319992781</v>
      </c>
      <c r="AB6" s="51">
        <f>AB30-AB88</f>
        <v>8537734.639985554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321926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223616</v>
      </c>
      <c r="J7" s="80">
        <f>IF(ISERROR(VLOOKUP(MONTH(J5),Inputs!$D$66:$D$71,1,0)),"",INDEX(Inputs!$B$66:$B$71,MATCH(MONTH(Output!J5),Inputs!$D$66:$D$71,0))-INDEX(Inputs!$C$66:$C$71,MATCH(MONTH(Output!J5),Inputs!$D$66:$D$71,0)))</f>
        <v>211994</v>
      </c>
      <c r="K7" s="80">
        <f>IF(ISERROR(VLOOKUP(MONTH(K5),Inputs!$D$66:$D$71,1,0)),"",INDEX(Inputs!$B$66:$B$71,MATCH(MONTH(Output!K5),Inputs!$D$66:$D$71,0))-INDEX(Inputs!$C$66:$C$71,MATCH(MONTH(Output!K5),Inputs!$D$66:$D$71,0)))</f>
        <v>137943</v>
      </c>
      <c r="L7" s="80">
        <f>IF(ISERROR(VLOOKUP(MONTH(L5),Inputs!$D$66:$D$71,1,0)),"",INDEX(Inputs!$B$66:$B$71,MATCH(MONTH(Output!L5),Inputs!$D$66:$D$71,0))-INDEX(Inputs!$C$66:$C$71,MATCH(MONTH(Output!L5),Inputs!$D$66:$D$71,0)))</f>
        <v>221495</v>
      </c>
      <c r="M7" s="80">
        <f>IF(ISERROR(VLOOKUP(MONTH(M5),Inputs!$D$66:$D$71,1,0)),"",INDEX(Inputs!$B$66:$B$71,MATCH(MONTH(Output!M5),Inputs!$D$66:$D$71,0))-INDEX(Inputs!$C$66:$C$71,MATCH(MONTH(Output!M5),Inputs!$D$66:$D$71,0)))</f>
        <v>272333</v>
      </c>
      <c r="N7" s="80">
        <f>IF(ISERROR(VLOOKUP(MONTH(N5),Inputs!$D$66:$D$71,1,0)),"",INDEX(Inputs!$B$66:$B$71,MATCH(MONTH(Output!N5),Inputs!$D$66:$D$71,0))-INDEX(Inputs!$C$66:$C$71,MATCH(MONTH(Output!N5),Inputs!$D$66:$D$71,0)))</f>
        <v>321926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223616</v>
      </c>
      <c r="V7" s="80">
        <f>IF(ISERROR(VLOOKUP(MONTH(V5),Inputs!$D$66:$D$71,1,0)),"",INDEX(Inputs!$B$66:$B$71,MATCH(MONTH(Output!V5),Inputs!$D$66:$D$71,0))-INDEX(Inputs!$C$66:$C$71,MATCH(MONTH(Output!V5),Inputs!$D$66:$D$71,0)))</f>
        <v>211994</v>
      </c>
      <c r="W7" s="80">
        <f>IF(ISERROR(VLOOKUP(MONTH(W5),Inputs!$D$66:$D$71,1,0)),"",INDEX(Inputs!$B$66:$B$71,MATCH(MONTH(Output!W5),Inputs!$D$66:$D$71,0))-INDEX(Inputs!$C$66:$C$71,MATCH(MONTH(Output!W5),Inputs!$D$66:$D$71,0)))</f>
        <v>137943</v>
      </c>
      <c r="X7" s="80">
        <f>IF(ISERROR(VLOOKUP(MONTH(X5),Inputs!$D$66:$D$71,1,0)),"",INDEX(Inputs!$B$66:$B$71,MATCH(MONTH(Output!X5),Inputs!$D$66:$D$71,0))-INDEX(Inputs!$C$66:$C$71,MATCH(MONTH(Output!X5),Inputs!$D$66:$D$71,0)))</f>
        <v>221495</v>
      </c>
      <c r="Y7" s="80">
        <f>IF(ISERROR(VLOOKUP(MONTH(Y5),Inputs!$D$66:$D$71,1,0)),"",INDEX(Inputs!$B$66:$B$71,MATCH(MONTH(Output!Y5),Inputs!$D$66:$D$71,0))-INDEX(Inputs!$C$66:$C$71,MATCH(MONTH(Output!Y5),Inputs!$D$66:$D$71,0)))</f>
        <v>272333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2500000</v>
      </c>
      <c r="AA9" s="75">
        <f>SUM(B9:M9)</f>
        <v>2500000</v>
      </c>
      <c r="AB9" s="75">
        <f>SUM(B9:Y9)</f>
        <v>2500000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458333.3333333334</v>
      </c>
      <c r="D10" s="37">
        <f>SUMPRODUCT((Calculations!$D$33:$D$84=Output!D5)+0,Calculations!$C$33:$C$84)</f>
        <v>458333.3333333334</v>
      </c>
      <c r="E10" s="37">
        <f>SUMPRODUCT((Calculations!$D$33:$D$84=Output!E5)+0,Calculations!$C$33:$C$84)</f>
        <v>458333.3333333334</v>
      </c>
      <c r="F10" s="37">
        <f>SUMPRODUCT((Calculations!$D$33:$D$84=Output!F5)+0,Calculations!$C$33:$C$84)</f>
        <v>458333.3333333334</v>
      </c>
      <c r="G10" s="37">
        <f>SUMPRODUCT((Calculations!$D$33:$D$84=Output!G5)+0,Calculations!$C$33:$C$84)</f>
        <v>458333.3333333334</v>
      </c>
      <c r="H10" s="37">
        <f>SUMPRODUCT((Calculations!$D$33:$D$84=Output!H5)+0,Calculations!$C$33:$C$84)</f>
        <v>458333.3333333334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2750000</v>
      </c>
      <c r="AA10" s="37">
        <f>SUM(B10:M10)</f>
        <v>2750000</v>
      </c>
      <c r="AB10" s="37">
        <f>SUM(B10:Y10)</f>
        <v>2750000</v>
      </c>
    </row>
    <row r="11" spans="1:30" customHeight="1" ht="15.75">
      <c r="A11" s="43" t="s">
        <v>31</v>
      </c>
      <c r="B11" s="80">
        <f>B6+B9-B10</f>
        <v>4621237.18739013</v>
      </c>
      <c r="C11" s="80">
        <f>C6+C9-C10</f>
        <v>-2904992.628888488</v>
      </c>
      <c r="D11" s="80">
        <f>D6+D9-D10</f>
        <v>-592492.6288884882</v>
      </c>
      <c r="E11" s="80">
        <f>E6+E9-E10</f>
        <v>-721492.6288884882</v>
      </c>
      <c r="F11" s="80">
        <f>F6+F9-F10</f>
        <v>-1042492.628888488</v>
      </c>
      <c r="G11" s="80">
        <f>G6+G9-G10</f>
        <v>2283000.321493548</v>
      </c>
      <c r="H11" s="80">
        <f>H6+H9-H10</f>
        <v>1662903.854056797</v>
      </c>
      <c r="I11" s="80">
        <f>I6+I9-I10</f>
        <v>-1046659.295555155</v>
      </c>
      <c r="J11" s="80">
        <f>J6+J9-J10</f>
        <v>-134159.2955551548</v>
      </c>
      <c r="K11" s="80">
        <f>K6+K9-K10</f>
        <v>-263159.2955551548</v>
      </c>
      <c r="L11" s="80">
        <f>L6+L9-L10</f>
        <v>-584159.2955551548</v>
      </c>
      <c r="M11" s="80">
        <f>M6+M9-M10</f>
        <v>2741333.654826881</v>
      </c>
      <c r="N11" s="80">
        <f>N6+N9-N10</f>
        <v>2121237.18739013</v>
      </c>
      <c r="O11" s="80">
        <f>O6+O9-O10</f>
        <v>-2446659.295555155</v>
      </c>
      <c r="P11" s="80">
        <f>P6+P9-P10</f>
        <v>-134159.2955551548</v>
      </c>
      <c r="Q11" s="80">
        <f>Q6+Q9-Q10</f>
        <v>-263159.2955551548</v>
      </c>
      <c r="R11" s="80">
        <f>R6+R9-R10</f>
        <v>-584159.2955551548</v>
      </c>
      <c r="S11" s="80">
        <f>S6+S9-S10</f>
        <v>2741333.654826881</v>
      </c>
      <c r="T11" s="80">
        <f>T6+T9-T10</f>
        <v>2121237.18739013</v>
      </c>
      <c r="U11" s="80">
        <f>U6+U9-U10</f>
        <v>-1046659.295555155</v>
      </c>
      <c r="V11" s="80">
        <f>V6+V9-V10</f>
        <v>-134159.2955551548</v>
      </c>
      <c r="W11" s="80">
        <f>W6+W9-W10</f>
        <v>-263159.2955551548</v>
      </c>
      <c r="X11" s="80">
        <f>X6+X9-X10</f>
        <v>-584159.2955551548</v>
      </c>
      <c r="Y11" s="80">
        <f>Y6+Y9-Y10</f>
        <v>2741333.654826881</v>
      </c>
      <c r="Z11" s="85">
        <f>SUMIF($B$13:$Y$13,"Yes",B11:Y11)</f>
        <v>3305670.847386521</v>
      </c>
      <c r="AA11" s="80">
        <f>SUM(B11:M11)</f>
        <v>4018867.319992783</v>
      </c>
      <c r="AB11" s="46">
        <f>SUM(B11:Y11)</f>
        <v>8287734.639985568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0.2107688738372014</v>
      </c>
      <c r="D12" s="82">
        <f>IF(D13="Yes",IF(SUM($B$10:D10)/(SUM($B$6:D6)+SUM($B$9:D9))&lt;0,999.99,SUM($B$10:D10)/(SUM($B$6:D6)+SUM($B$9:D9))),"")</f>
        <v>0.4492542208436902</v>
      </c>
      <c r="E12" s="82">
        <f>IF(E13="Yes",IF(SUM($B$10:E10)/(SUM($B$6:E6)+SUM($B$9:E9))&lt;0,999.99,SUM($B$10:E10)/(SUM($B$6:E6)+SUM($B$9:E9))),"")</f>
        <v>0.7736631337021856</v>
      </c>
      <c r="F12" s="82">
        <f>IF(F13="Yes",IF(SUM($B$10:F10)/(SUM($B$6:F6)+SUM($B$9:F9))&lt;0,999.99,SUM($B$10:F10)/(SUM($B$6:F6)+SUM($B$9:F9))),"")</f>
        <v>1.536613297619474</v>
      </c>
      <c r="G12" s="82">
        <f>IF(G13="Yes",IF(SUM($B$10:G10)/(SUM($B$6:G6)+SUM($B$9:G9))&lt;0,999.99,SUM($B$10:G10)/(SUM($B$6:G6)+SUM($B$9:G9))),"")</f>
        <v>0.5824641777461737</v>
      </c>
      <c r="H12" s="82">
        <f>IF(H13="Yes",IF(SUM($B$10:H10)/(SUM($B$6:H6)+SUM($B$9:H9))&lt;0,999.99,SUM($B$10:H10)/(SUM($B$6:H6)+SUM($B$9:H9))),"")</f>
        <v>0.4541197943720525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2875492.950382036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2875492.950382036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2875492.950382036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2875492.950382036</v>
      </c>
      <c r="Z18" s="36">
        <f>SUMIF($B$13:$Y$13,"Yes",B18:Y18)</f>
        <v>2875492.950382036</v>
      </c>
      <c r="AA18" s="36">
        <f>SUM(B18:M18)</f>
        <v>5750985.900764072</v>
      </c>
      <c r="AB18" s="36">
        <f>SUM(B18:Y18)</f>
        <v>11501971.80152814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Wheat</v>
      </c>
      <c r="B20" s="36">
        <f>N20</f>
        <v>2183396.482945285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2183396.482945285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2183396.482945285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2183396.482945285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4366792.96589057</v>
      </c>
      <c r="AA20" s="36">
        <f>SUM(B20:M20)</f>
        <v>4366792.96589057</v>
      </c>
      <c r="AB20" s="36">
        <f>SUM(B20:Y20)</f>
        <v>8733585.931781139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2800000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2583396.482945285</v>
      </c>
      <c r="C30" s="19">
        <f>SUM(C18:C29)</f>
        <v>400000</v>
      </c>
      <c r="D30" s="19">
        <f>SUM(D18:D29)</f>
        <v>400000</v>
      </c>
      <c r="E30" s="19">
        <f>SUM(E18:E29)</f>
        <v>400000</v>
      </c>
      <c r="F30" s="19">
        <f>SUM(F18:F29)</f>
        <v>400000</v>
      </c>
      <c r="G30" s="19">
        <f>SUM(G18:G29)</f>
        <v>3275492.950382036</v>
      </c>
      <c r="H30" s="19">
        <f>SUM(H18:H29)</f>
        <v>2583396.482945285</v>
      </c>
      <c r="I30" s="19">
        <f>SUM(I18:I29)</f>
        <v>400000</v>
      </c>
      <c r="J30" s="19">
        <f>SUM(J18:J29)</f>
        <v>400000</v>
      </c>
      <c r="K30" s="19">
        <f>SUM(K18:K29)</f>
        <v>400000</v>
      </c>
      <c r="L30" s="19">
        <f>SUM(L18:L29)</f>
        <v>400000</v>
      </c>
      <c r="M30" s="19">
        <f>SUM(M18:M29)</f>
        <v>3275492.950382036</v>
      </c>
      <c r="N30" s="19">
        <f>SUM(N18:N29)</f>
        <v>2583396.482945285</v>
      </c>
      <c r="O30" s="19">
        <f>SUM(O18:O29)</f>
        <v>400000</v>
      </c>
      <c r="P30" s="19">
        <f>SUM(P18:P29)</f>
        <v>400000</v>
      </c>
      <c r="Q30" s="19">
        <f>SUM(Q18:Q29)</f>
        <v>400000</v>
      </c>
      <c r="R30" s="19">
        <f>SUM(R18:R29)</f>
        <v>400000</v>
      </c>
      <c r="S30" s="19">
        <f>SUM(S18:S29)</f>
        <v>3275492.950382036</v>
      </c>
      <c r="T30" s="19">
        <f>SUM(T18:T29)</f>
        <v>2583396.482945285</v>
      </c>
      <c r="U30" s="19">
        <f>SUM(U18:U29)</f>
        <v>400000</v>
      </c>
      <c r="V30" s="19">
        <f>SUM(V18:V29)</f>
        <v>400000</v>
      </c>
      <c r="W30" s="19">
        <f>SUM(W18:W29)</f>
        <v>400000</v>
      </c>
      <c r="X30" s="19">
        <f>SUM(X18:X29)</f>
        <v>400000</v>
      </c>
      <c r="Y30" s="19">
        <f>SUM(Y18:Y29)</f>
        <v>3275492.950382036</v>
      </c>
      <c r="Z30" s="19">
        <f>SUMIF($B$13:$Y$13,"Yes",B30:Y30)</f>
        <v>10042285.91627261</v>
      </c>
      <c r="AA30" s="19">
        <f>SUM(B30:M30)</f>
        <v>14917778.86665464</v>
      </c>
      <c r="AB30" s="19">
        <f>SUM(B30:Y30)</f>
        <v>29835557.73330928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Wheat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912500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912500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912500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912500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912500</v>
      </c>
      <c r="AA42" s="36">
        <f>SUM(B42:M42)</f>
        <v>1825000</v>
      </c>
      <c r="AB42" s="36">
        <f>SUM(B42:Y42)</f>
        <v>3650000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720000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720000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720000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720000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720000</v>
      </c>
      <c r="AA43" s="36">
        <f>SUM(B43:M43)</f>
        <v>1440000</v>
      </c>
      <c r="AB43" s="36">
        <f>SUM(B43:Y43)</f>
        <v>2880000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Wheat</v>
      </c>
      <c r="B45" s="36">
        <f>N45</f>
        <v>0</v>
      </c>
      <c r="C45" s="36">
        <f>O45</f>
        <v>192500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192500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192500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192500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192500</v>
      </c>
      <c r="AA45" s="36">
        <f>SUM(B45:M45)</f>
        <v>385000</v>
      </c>
      <c r="AB45" s="36">
        <f>SUM(B45:Y45)</f>
        <v>770000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129000</v>
      </c>
      <c r="F48" s="36">
        <f>R48</f>
        <v>450000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129000</v>
      </c>
      <c r="L48" s="36">
        <f>X48</f>
        <v>450000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129000</v>
      </c>
      <c r="R48" s="46">
        <f>SUM(R49:R53)</f>
        <v>450000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129000</v>
      </c>
      <c r="X48" s="46">
        <f>SUM(X49:X53)</f>
        <v>450000</v>
      </c>
      <c r="Y48" s="46">
        <f>SUM(Y49:Y53)</f>
        <v>0</v>
      </c>
      <c r="Z48" s="46">
        <f>SUMIF($B$13:$Y$13,"Yes",B48:Y48)</f>
        <v>579000</v>
      </c>
      <c r="AA48" s="46">
        <f>SUM(B48:M48)</f>
        <v>1158000</v>
      </c>
      <c r="AB48" s="46">
        <f>SUM(B48:Y48)</f>
        <v>2316000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129000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129000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129000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129000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129000</v>
      </c>
      <c r="AA49" s="46">
        <f>SUM(B49:M49)</f>
        <v>258000</v>
      </c>
      <c r="AB49" s="46">
        <f>SUM(B49:Y49)</f>
        <v>516000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450000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450000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450000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450000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450000</v>
      </c>
      <c r="AA51" s="46">
        <f>SUM(B51:M51)</f>
        <v>900000</v>
      </c>
      <c r="AB51" s="46">
        <f>SUM(B51:Y51)</f>
        <v>1800000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125000</v>
      </c>
      <c r="C66" s="36">
        <f>O66</f>
        <v>197000</v>
      </c>
      <c r="D66" s="36">
        <f>P66</f>
        <v>197000</v>
      </c>
      <c r="E66" s="36">
        <f>Q66</f>
        <v>197000</v>
      </c>
      <c r="F66" s="36">
        <f>R66</f>
        <v>197000</v>
      </c>
      <c r="G66" s="36">
        <f>S66</f>
        <v>197000</v>
      </c>
      <c r="H66" s="36">
        <f>T66</f>
        <v>125000</v>
      </c>
      <c r="I66" s="36">
        <f>U66</f>
        <v>197000</v>
      </c>
      <c r="J66" s="36">
        <f>V66</f>
        <v>197000</v>
      </c>
      <c r="K66" s="36">
        <f>W66</f>
        <v>197000</v>
      </c>
      <c r="L66" s="36">
        <f>X66</f>
        <v>197000</v>
      </c>
      <c r="M66" s="36">
        <f>Y66</f>
        <v>197000</v>
      </c>
      <c r="N66" s="46">
        <f>SUM(N67:N71)</f>
        <v>125000</v>
      </c>
      <c r="O66" s="46">
        <f>SUM(O67:O71)</f>
        <v>197000</v>
      </c>
      <c r="P66" s="46">
        <f>SUM(P67:P71)</f>
        <v>197000</v>
      </c>
      <c r="Q66" s="46">
        <f>SUM(Q67:Q71)</f>
        <v>197000</v>
      </c>
      <c r="R66" s="46">
        <f>SUM(R67:R71)</f>
        <v>197000</v>
      </c>
      <c r="S66" s="46">
        <f>SUM(S67:S71)</f>
        <v>197000</v>
      </c>
      <c r="T66" s="46">
        <f>SUM(T67:T71)</f>
        <v>125000</v>
      </c>
      <c r="U66" s="46">
        <f>SUM(U67:U71)</f>
        <v>197000</v>
      </c>
      <c r="V66" s="46">
        <f>SUM(V67:V71)</f>
        <v>197000</v>
      </c>
      <c r="W66" s="46">
        <f>SUM(W67:W71)</f>
        <v>197000</v>
      </c>
      <c r="X66" s="46">
        <f>SUM(X67:X71)</f>
        <v>197000</v>
      </c>
      <c r="Y66" s="46">
        <f>SUM(Y67:Y71)</f>
        <v>197000</v>
      </c>
      <c r="Z66" s="46">
        <f>SUMIF($B$13:$Y$13,"Yes",B66:Y66)</f>
        <v>1235000</v>
      </c>
      <c r="AA66" s="46">
        <f>SUM(B66:M66)</f>
        <v>2220000</v>
      </c>
      <c r="AB66" s="46">
        <f>SUM(B66:Y66)</f>
        <v>4440000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72000</v>
      </c>
      <c r="D67" s="36">
        <f>P67</f>
        <v>72000</v>
      </c>
      <c r="E67" s="36">
        <f>Q67</f>
        <v>72000</v>
      </c>
      <c r="F67" s="36">
        <f>R67</f>
        <v>72000</v>
      </c>
      <c r="G67" s="36">
        <f>S67</f>
        <v>72000</v>
      </c>
      <c r="H67" s="36">
        <f>T67</f>
        <v>0</v>
      </c>
      <c r="I67" s="36">
        <f>U67</f>
        <v>72000</v>
      </c>
      <c r="J67" s="36">
        <f>V67</f>
        <v>72000</v>
      </c>
      <c r="K67" s="36">
        <f>W67</f>
        <v>72000</v>
      </c>
      <c r="L67" s="36">
        <f>X67</f>
        <v>72000</v>
      </c>
      <c r="M67" s="36">
        <f>Y67</f>
        <v>72000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72000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72000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72000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72000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72000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72000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72000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72000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72000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72000</v>
      </c>
      <c r="Z67" s="46">
        <f>SUMIF($B$13:$Y$13,"Yes",B67:Y67)</f>
        <v>360000</v>
      </c>
      <c r="AA67" s="46">
        <f>SUM(B67:M67)</f>
        <v>720000</v>
      </c>
      <c r="AB67" s="46">
        <f>SUM(B67:Y67)</f>
        <v>1440000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Wheat</v>
      </c>
      <c r="B69" s="36">
        <f>N69</f>
        <v>125000</v>
      </c>
      <c r="C69" s="36">
        <f>O69</f>
        <v>125000</v>
      </c>
      <c r="D69" s="36">
        <f>P69</f>
        <v>125000</v>
      </c>
      <c r="E69" s="36">
        <f>Q69</f>
        <v>125000</v>
      </c>
      <c r="F69" s="36">
        <f>R69</f>
        <v>125000</v>
      </c>
      <c r="G69" s="36">
        <f>S69</f>
        <v>125000</v>
      </c>
      <c r="H69" s="36">
        <f>T69</f>
        <v>125000</v>
      </c>
      <c r="I69" s="36">
        <f>U69</f>
        <v>125000</v>
      </c>
      <c r="J69" s="36">
        <f>V69</f>
        <v>125000</v>
      </c>
      <c r="K69" s="36">
        <f>W69</f>
        <v>125000</v>
      </c>
      <c r="L69" s="36">
        <f>X69</f>
        <v>125000</v>
      </c>
      <c r="M69" s="36">
        <f>Y69</f>
        <v>125000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125000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125000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125000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125000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125000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125000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125000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125000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125000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125000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125000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125000</v>
      </c>
      <c r="Z69" s="46">
        <f>SUMIF($B$13:$Y$13,"Yes",B69:Y69)</f>
        <v>875000</v>
      </c>
      <c r="AA69" s="46">
        <f>SUM(B69:M69)</f>
        <v>1500000</v>
      </c>
      <c r="AB69" s="46">
        <f>SUM(B69:Y69)</f>
        <v>3000000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1400000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1400000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1400000</v>
      </c>
      <c r="AA72" s="46">
        <f>SUM(B72:M72)</f>
        <v>1400000</v>
      </c>
      <c r="AB72" s="46">
        <f>SUM(B72:Y72)</f>
        <v>2800000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100000</v>
      </c>
      <c r="C79" s="46">
        <f>Inputs!$B$31</f>
        <v>100000</v>
      </c>
      <c r="D79" s="46">
        <f>Inputs!$B$31</f>
        <v>100000</v>
      </c>
      <c r="E79" s="46">
        <f>Inputs!$B$31</f>
        <v>100000</v>
      </c>
      <c r="F79" s="46">
        <f>Inputs!$B$31</f>
        <v>100000</v>
      </c>
      <c r="G79" s="46">
        <f>Inputs!$B$31</f>
        <v>100000</v>
      </c>
      <c r="H79" s="46">
        <f>Inputs!$B$31</f>
        <v>100000</v>
      </c>
      <c r="I79" s="46">
        <f>Inputs!$B$31</f>
        <v>100000</v>
      </c>
      <c r="J79" s="46">
        <f>Inputs!$B$31</f>
        <v>100000</v>
      </c>
      <c r="K79" s="46">
        <f>Inputs!$B$31</f>
        <v>100000</v>
      </c>
      <c r="L79" s="46">
        <f>Inputs!$B$31</f>
        <v>100000</v>
      </c>
      <c r="M79" s="46">
        <f>Inputs!$B$31</f>
        <v>100000</v>
      </c>
      <c r="N79" s="46">
        <f>Inputs!$B$31</f>
        <v>100000</v>
      </c>
      <c r="O79" s="46">
        <f>Inputs!$B$31</f>
        <v>100000</v>
      </c>
      <c r="P79" s="46">
        <f>Inputs!$B$31</f>
        <v>100000</v>
      </c>
      <c r="Q79" s="46">
        <f>Inputs!$B$31</f>
        <v>100000</v>
      </c>
      <c r="R79" s="46">
        <f>Inputs!$B$31</f>
        <v>100000</v>
      </c>
      <c r="S79" s="46">
        <f>Inputs!$B$31</f>
        <v>100000</v>
      </c>
      <c r="T79" s="46">
        <f>Inputs!$B$31</f>
        <v>100000</v>
      </c>
      <c r="U79" s="46">
        <f>Inputs!$B$31</f>
        <v>100000</v>
      </c>
      <c r="V79" s="46">
        <f>Inputs!$B$31</f>
        <v>100000</v>
      </c>
      <c r="W79" s="46">
        <f>Inputs!$B$31</f>
        <v>100000</v>
      </c>
      <c r="X79" s="46">
        <f>Inputs!$B$31</f>
        <v>100000</v>
      </c>
      <c r="Y79" s="46">
        <f>Inputs!$B$31</f>
        <v>100000</v>
      </c>
      <c r="Z79" s="46">
        <f>SUMIF($B$13:$Y$13,"Yes",B79:Y79)</f>
        <v>700000</v>
      </c>
      <c r="AA79" s="46">
        <f>SUM(B79:M79)</f>
        <v>1200000</v>
      </c>
      <c r="AB79" s="46">
        <f>SUM(B79:Y79)</f>
        <v>2400000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237159.2955551548</v>
      </c>
      <c r="C81" s="46">
        <f>(SUM($AA$18:$AA$29)-SUM($AA$36,$AA$42,$AA$48,$AA$54,$AA$60,$AA$66,$AA$72:$AA$79))*Parameters!$B$37/12</f>
        <v>237159.2955551548</v>
      </c>
      <c r="D81" s="46">
        <f>(SUM($AA$18:$AA$29)-SUM($AA$36,$AA$42,$AA$48,$AA$54,$AA$60,$AA$66,$AA$72:$AA$79))*Parameters!$B$37/12</f>
        <v>237159.2955551548</v>
      </c>
      <c r="E81" s="46">
        <f>(SUM($AA$18:$AA$29)-SUM($AA$36,$AA$42,$AA$48,$AA$54,$AA$60,$AA$66,$AA$72:$AA$79))*Parameters!$B$37/12</f>
        <v>237159.2955551548</v>
      </c>
      <c r="F81" s="46">
        <f>(SUM($AA$18:$AA$29)-SUM($AA$36,$AA$42,$AA$48,$AA$54,$AA$60,$AA$66,$AA$72:$AA$79))*Parameters!$B$37/12</f>
        <v>237159.2955551548</v>
      </c>
      <c r="G81" s="46">
        <f>(SUM($AA$18:$AA$29)-SUM($AA$36,$AA$42,$AA$48,$AA$54,$AA$60,$AA$66,$AA$72:$AA$79))*Parameters!$B$37/12</f>
        <v>237159.2955551548</v>
      </c>
      <c r="H81" s="46">
        <f>(SUM($AA$18:$AA$29)-SUM($AA$36,$AA$42,$AA$48,$AA$54,$AA$60,$AA$66,$AA$72:$AA$79))*Parameters!$B$37/12</f>
        <v>237159.2955551548</v>
      </c>
      <c r="I81" s="46">
        <f>(SUM($AA$18:$AA$29)-SUM($AA$36,$AA$42,$AA$48,$AA$54,$AA$60,$AA$66,$AA$72:$AA$79))*Parameters!$B$37/12</f>
        <v>237159.2955551548</v>
      </c>
      <c r="J81" s="46">
        <f>(SUM($AA$18:$AA$29)-SUM($AA$36,$AA$42,$AA$48,$AA$54,$AA$60,$AA$66,$AA$72:$AA$79))*Parameters!$B$37/12</f>
        <v>237159.2955551548</v>
      </c>
      <c r="K81" s="46">
        <f>(SUM($AA$18:$AA$29)-SUM($AA$36,$AA$42,$AA$48,$AA$54,$AA$60,$AA$66,$AA$72:$AA$79))*Parameters!$B$37/12</f>
        <v>237159.2955551548</v>
      </c>
      <c r="L81" s="46">
        <f>(SUM($AA$18:$AA$29)-SUM($AA$36,$AA$42,$AA$48,$AA$54,$AA$60,$AA$66,$AA$72:$AA$79))*Parameters!$B$37/12</f>
        <v>237159.2955551548</v>
      </c>
      <c r="M81" s="46">
        <f>(SUM($AA$18:$AA$29)-SUM($AA$36,$AA$42,$AA$48,$AA$54,$AA$60,$AA$66,$AA$72:$AA$79))*Parameters!$B$37/12</f>
        <v>237159.2955551548</v>
      </c>
      <c r="N81" s="46">
        <f>(SUM($AA$18:$AA$29)-SUM($AA$36,$AA$42,$AA$48,$AA$54,$AA$60,$AA$66,$AA$72:$AA$79))*Parameters!$B$37/12</f>
        <v>237159.2955551548</v>
      </c>
      <c r="O81" s="46">
        <f>(SUM($AA$18:$AA$29)-SUM($AA$36,$AA$42,$AA$48,$AA$54,$AA$60,$AA$66,$AA$72:$AA$79))*Parameters!$B$37/12</f>
        <v>237159.2955551548</v>
      </c>
      <c r="P81" s="46">
        <f>(SUM($AA$18:$AA$29)-SUM($AA$36,$AA$42,$AA$48,$AA$54,$AA$60,$AA$66,$AA$72:$AA$79))*Parameters!$B$37/12</f>
        <v>237159.2955551548</v>
      </c>
      <c r="Q81" s="46">
        <f>(SUM($AA$18:$AA$29)-SUM($AA$36,$AA$42,$AA$48,$AA$54,$AA$60,$AA$66,$AA$72:$AA$79))*Parameters!$B$37/12</f>
        <v>237159.2955551548</v>
      </c>
      <c r="R81" s="46">
        <f>(SUM($AA$18:$AA$29)-SUM($AA$36,$AA$42,$AA$48,$AA$54,$AA$60,$AA$66,$AA$72:$AA$79))*Parameters!$B$37/12</f>
        <v>237159.2955551548</v>
      </c>
      <c r="S81" s="46">
        <f>(SUM($AA$18:$AA$29)-SUM($AA$36,$AA$42,$AA$48,$AA$54,$AA$60,$AA$66,$AA$72:$AA$79))*Parameters!$B$37/12</f>
        <v>237159.2955551548</v>
      </c>
      <c r="T81" s="46">
        <f>(SUM($AA$18:$AA$29)-SUM($AA$36,$AA$42,$AA$48,$AA$54,$AA$60,$AA$66,$AA$72:$AA$79))*Parameters!$B$37/12</f>
        <v>237159.2955551548</v>
      </c>
      <c r="U81" s="46">
        <f>(SUM($AA$18:$AA$29)-SUM($AA$36,$AA$42,$AA$48,$AA$54,$AA$60,$AA$66,$AA$72:$AA$79))*Parameters!$B$37/12</f>
        <v>237159.2955551548</v>
      </c>
      <c r="V81" s="46">
        <f>(SUM($AA$18:$AA$29)-SUM($AA$36,$AA$42,$AA$48,$AA$54,$AA$60,$AA$66,$AA$72:$AA$79))*Parameters!$B$37/12</f>
        <v>237159.2955551548</v>
      </c>
      <c r="W81" s="46">
        <f>(SUM($AA$18:$AA$29)-SUM($AA$36,$AA$42,$AA$48,$AA$54,$AA$60,$AA$66,$AA$72:$AA$79))*Parameters!$B$37/12</f>
        <v>237159.2955551548</v>
      </c>
      <c r="X81" s="46">
        <f>(SUM($AA$18:$AA$29)-SUM($AA$36,$AA$42,$AA$48,$AA$54,$AA$60,$AA$66,$AA$72:$AA$79))*Parameters!$B$37/12</f>
        <v>237159.2955551548</v>
      </c>
      <c r="Y81" s="46">
        <f>(SUM($AA$18:$AA$29)-SUM($AA$36,$AA$42,$AA$48,$AA$54,$AA$60,$AA$66,$AA$72:$AA$79))*Parameters!$B$37/12</f>
        <v>237159.2955551548</v>
      </c>
      <c r="Z81" s="46">
        <f>SUMIF($B$13:$Y$13,"Yes",B81:Y81)</f>
        <v>1660115.068886083</v>
      </c>
      <c r="AA81" s="46">
        <f>SUM(B81:M81)</f>
        <v>2845911.546661857</v>
      </c>
      <c r="AB81" s="46">
        <f>SUM(B81:Y81)</f>
        <v>5691823.093323714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462159.2955551548</v>
      </c>
      <c r="C88" s="19">
        <f>SUM(C72:C82,C66,C60,C54,C48,C42,C36)</f>
        <v>2846659.295555155</v>
      </c>
      <c r="D88" s="19">
        <f>SUM(D72:D82,D66,D60,D54,D48,D42,D36)</f>
        <v>534159.2955551548</v>
      </c>
      <c r="E88" s="19">
        <f>SUM(E72:E82,E66,E60,E54,E48,E42,E36)</f>
        <v>663159.2955551548</v>
      </c>
      <c r="F88" s="19">
        <f>SUM(F72:F82,F66,F60,F54,F48,F42,F36)</f>
        <v>984159.2955551548</v>
      </c>
      <c r="G88" s="19">
        <f>SUM(G72:G82,G66,G60,G54,G48,G42,G36)</f>
        <v>534159.2955551548</v>
      </c>
      <c r="H88" s="19">
        <f>SUM(H72:H82,H66,H60,H54,H48,H42,H36)</f>
        <v>462159.2955551548</v>
      </c>
      <c r="I88" s="19">
        <f>SUM(I72:I82,I66,I60,I54,I48,I42,I36)</f>
        <v>1446659.295555155</v>
      </c>
      <c r="J88" s="19">
        <f>SUM(J72:J82,J66,J60,J54,J48,J42,J36)</f>
        <v>534159.2955551548</v>
      </c>
      <c r="K88" s="19">
        <f>SUM(K72:K82,K66,K60,K54,K48,K42,K36)</f>
        <v>663159.2955551548</v>
      </c>
      <c r="L88" s="19">
        <f>SUM(L72:L82,L66,L60,L54,L48,L42,L36)</f>
        <v>984159.2955551548</v>
      </c>
      <c r="M88" s="19">
        <f>SUM(M72:M82,M66,M60,M54,M48,M42,M36)</f>
        <v>534159.2955551548</v>
      </c>
      <c r="N88" s="19">
        <f>SUM(N72:N82,N66,N60,N54,N48,N42,N36)</f>
        <v>462159.2955551548</v>
      </c>
      <c r="O88" s="19">
        <f>SUM(O72:O82,O66,O60,O54,O48,O42,O36)</f>
        <v>2846659.295555155</v>
      </c>
      <c r="P88" s="19">
        <f>SUM(P72:P82,P66,P60,P54,P48,P42,P36)</f>
        <v>534159.2955551548</v>
      </c>
      <c r="Q88" s="19">
        <f>SUM(Q72:Q82,Q66,Q60,Q54,Q48,Q42,Q36)</f>
        <v>663159.2955551548</v>
      </c>
      <c r="R88" s="19">
        <f>SUM(R72:R82,R66,R60,R54,R48,R42,R36)</f>
        <v>984159.2955551548</v>
      </c>
      <c r="S88" s="19">
        <f>SUM(S72:S82,S66,S60,S54,S48,S42,S36)</f>
        <v>534159.2955551548</v>
      </c>
      <c r="T88" s="19">
        <f>SUM(T72:T82,T66,T60,T54,T48,T42,T36)</f>
        <v>462159.2955551548</v>
      </c>
      <c r="U88" s="19">
        <f>SUM(U72:U82,U66,U60,U54,U48,U42,U36)</f>
        <v>1446659.295555155</v>
      </c>
      <c r="V88" s="19">
        <f>SUM(V72:V82,V66,V60,V54,V48,V42,V36)</f>
        <v>534159.2955551548</v>
      </c>
      <c r="W88" s="19">
        <f>SUM(W72:W82,W66,W60,W54,W48,W42,W36)</f>
        <v>663159.2955551548</v>
      </c>
      <c r="X88" s="19">
        <f>SUM(X72:X82,X66,X60,X54,X48,X42,X36)</f>
        <v>984159.2955551548</v>
      </c>
      <c r="Y88" s="19">
        <f>SUM(Y72:Y82,Y66,Y60,Y54,Y48,Y42,Y36)</f>
        <v>534159.2955551548</v>
      </c>
      <c r="Z88" s="19">
        <f>SUMIF($B$13:$Y$13,"Yes",B88:Y88)</f>
        <v>6486615.068886084</v>
      </c>
      <c r="AA88" s="19">
        <f>SUM(B88:M88)</f>
        <v>10648911.54666186</v>
      </c>
      <c r="AB88" s="19">
        <f>SUM(B88:Y88)</f>
        <v>21297823.09332373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126000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5926000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2500000</v>
      </c>
    </row>
    <row r="107" spans="1:30" customHeight="1" ht="15.75">
      <c r="A107" s="1" t="s">
        <v>72</v>
      </c>
      <c r="B107" s="19">
        <f>SUM(B104:B106)</f>
        <v>2505000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97</v>
      </c>
      <c r="B9" s="16"/>
      <c r="C9" s="143">
        <v>50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400000</v>
      </c>
    </row>
    <row r="31" spans="1:48">
      <c r="A31" s="5" t="s">
        <v>118</v>
      </c>
      <c r="B31" s="158">
        <v>100000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93</v>
      </c>
    </row>
    <row r="41" spans="1:48">
      <c r="A41" s="55" t="s">
        <v>126</v>
      </c>
      <c r="B41" s="140">
        <v>1400000</v>
      </c>
    </row>
    <row r="42" spans="1:48">
      <c r="A42" s="55" t="s">
        <v>127</v>
      </c>
      <c r="B42" s="139" t="s">
        <v>94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300000</v>
      </c>
    </row>
    <row r="48" spans="1:48" customHeight="1" ht="30">
      <c r="A48" s="57" t="s">
        <v>134</v>
      </c>
      <c r="B48" s="161">
        <v>3500000</v>
      </c>
    </row>
    <row r="49" spans="1:48" customHeight="1" ht="30">
      <c r="A49" s="57" t="s">
        <v>135</v>
      </c>
      <c r="B49" s="161">
        <v>126000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781786</v>
      </c>
      <c r="C66" s="163">
        <v>459860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1870970</v>
      </c>
      <c r="C67" s="165">
        <v>1598637</v>
      </c>
      <c r="D67" s="49">
        <f>INDEX(Parameters!$D$79:$D$90,MATCH(Inputs!A67,Parameters!$C$79:$C$90,0))</f>
        <v>7</v>
      </c>
    </row>
    <row r="68" spans="1:48">
      <c r="A68" s="143" t="s">
        <v>149</v>
      </c>
      <c r="B68" s="157">
        <v>1173859</v>
      </c>
      <c r="C68" s="165">
        <v>952364</v>
      </c>
      <c r="D68" s="49">
        <f>INDEX(Parameters!$D$79:$D$90,MATCH(Inputs!A68,Parameters!$C$79:$C$90,0))</f>
        <v>6</v>
      </c>
    </row>
    <row r="69" spans="1:48">
      <c r="A69" s="143" t="s">
        <v>150</v>
      </c>
      <c r="B69" s="157">
        <v>698230</v>
      </c>
      <c r="C69" s="165">
        <v>560287</v>
      </c>
      <c r="D69" s="49">
        <f>INDEX(Parameters!$D$79:$D$90,MATCH(Inputs!A69,Parameters!$C$79:$C$90,0))</f>
        <v>5</v>
      </c>
    </row>
    <row r="70" spans="1:48">
      <c r="A70" s="143" t="s">
        <v>151</v>
      </c>
      <c r="B70" s="157">
        <v>1217870</v>
      </c>
      <c r="C70" s="165">
        <v>1005876</v>
      </c>
      <c r="D70" s="49">
        <f>INDEX(Parameters!$D$79:$D$90,MATCH(Inputs!A70,Parameters!$C$79:$C$90,0))</f>
        <v>4</v>
      </c>
    </row>
    <row r="71" spans="1:48">
      <c r="A71" s="144" t="s">
        <v>98</v>
      </c>
      <c r="B71" s="158">
        <v>942580</v>
      </c>
      <c r="C71" s="167">
        <v>718964</v>
      </c>
      <c r="D71" s="49">
        <f>INDEX(Parameters!$D$79:$D$90,MATCH(Inputs!A71,Parameters!$C$79:$C$90,0))</f>
        <v>3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2500000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6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30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256740.4419983961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5750985.900764072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Wheat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43252</v>
      </c>
      <c r="D6" s="39">
        <f>IFERROR(DATE(YEAR(B6),MONTH(B6)+T6,DAY(B6)),"")</f>
        <v>43313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43435</v>
      </c>
      <c r="G6" s="39">
        <f>IFERROR(IF($S6=0,"",IF($S6=2,DATE(YEAR(D6),MONTH(D6)+6,DAY(D6)),IF($S6=1,D6,""))),"")</f>
        <v>43497</v>
      </c>
      <c r="H6" s="16">
        <f>Inputs!C9</f>
        <v>50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1599.557862963579</v>
      </c>
      <c r="M6" s="30">
        <f>L6*H6</f>
        <v>79977.89314817893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27.3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4366792.96589057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192500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450000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750000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43002</v>
      </c>
      <c r="C33" s="27">
        <f>IF(B33&lt;&gt;"",IF(COUNT($A$33:A33)&lt;=$G$39,0,$G$41)+IF(COUNT($A$33:A33)&lt;=$G$40,0,$G$42),0)</f>
        <v>458333.3333333334</v>
      </c>
      <c r="D33" s="170">
        <f>IFERROR(DATE(YEAR(B33),MONTH(B33),1)," ")</f>
        <v>42979</v>
      </c>
      <c r="F33" t="s">
        <v>157</v>
      </c>
      <c r="G33" s="128">
        <f>IF(Inputs!B79="","",DATE(YEAR(Inputs!B79),MONTH(Inputs!B79),DAY(Inputs!B79)))</f>
        <v>42978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43032</v>
      </c>
      <c r="C34" s="27">
        <f>IF(B34&lt;&gt;"",IF(COUNT($A$33:A34)&lt;=$G$39,0,$G$41)+IF(COUNT($A$33:A34)&lt;=$G$40,0,$G$42),0)</f>
        <v>458333.3333333334</v>
      </c>
      <c r="D34" s="170">
        <f>IFERROR(DATE(YEAR(B34),MONTH(B34),1)," ")</f>
        <v>43009</v>
      </c>
      <c r="F34" t="s">
        <v>159</v>
      </c>
      <c r="G34" s="128">
        <f>IF(Inputs!B80="","",DATE(YEAR(Inputs!B80),MONTH(Inputs!B80),DAY(Inputs!B80)))</f>
        <v>43002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43063</v>
      </c>
      <c r="C35" s="27">
        <f>IF(B35&lt;&gt;"",IF(COUNT($A$33:A35)&lt;=$G$39,0,$G$41)+IF(COUNT($A$33:A35)&lt;=$G$40,0,$G$42),0)</f>
        <v>458333.3333333334</v>
      </c>
      <c r="D35" s="170">
        <f>IFERROR(DATE(YEAR(B35),MONTH(B35),1)," ")</f>
        <v>43040</v>
      </c>
      <c r="F35" t="s">
        <v>161</v>
      </c>
      <c r="G35" s="27">
        <f>Inputs!B81</f>
        <v>2500000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43093</v>
      </c>
      <c r="C36" s="27">
        <f>IF(B36&lt;&gt;"",IF(COUNT($A$33:A36)&lt;=$G$39,0,$G$41)+IF(COUNT($A$33:A36)&lt;=$G$40,0,$G$42),0)</f>
        <v>458333.3333333334</v>
      </c>
      <c r="D36" s="170">
        <f>IFERROR(DATE(YEAR(B36),MONTH(B36),1)," ")</f>
        <v>43070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43124</v>
      </c>
      <c r="C37" s="27">
        <f>IF(B37&lt;&gt;"",IF(COUNT($A$33:A37)&lt;=$G$39,0,$G$41)+IF(COUNT($A$33:A37)&lt;=$G$40,0,$G$42),0)</f>
        <v>458333.3333333334</v>
      </c>
      <c r="D37" s="170">
        <f>IFERROR(DATE(YEAR(B37),MONTH(B37),1)," ")</f>
        <v>43101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43155</v>
      </c>
      <c r="C38" s="27">
        <f>IF(B38&lt;&gt;"",IF(COUNT($A$33:A38)&lt;=$G$39,0,$G$41)+IF(COUNT($A$33:A38)&lt;=$G$40,0,$G$42),0)</f>
        <v>458333.3333333334</v>
      </c>
      <c r="D38" s="170">
        <f>IFERROR(DATE(YEAR(B38),MONTH(B38),1)," ")</f>
        <v>43132</v>
      </c>
      <c r="F38" t="s">
        <v>224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225</v>
      </c>
      <c r="G41" s="73">
        <f>IFERROR(G35/(G38-G39),"")</f>
        <v>416666.6666666667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226</v>
      </c>
      <c r="G42" s="73">
        <f>IFERROR(G35*G36*IF(G37="Monthly",G38/12,IF(G37="Fortnightly",G38/(365/14),G38/(365/28)))/(G38-G40),"")</f>
        <v>41666.66666666666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199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129</v>
      </c>
      <c r="I77" s="12" t="s">
        <v>348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164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98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