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<sst xmlns="http://schemas.openxmlformats.org/spreadsheetml/2006/main" uniqueCount="369">
  <si>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</si>
  <si>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</si>
  <si>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</si>
  <si>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</si>
  <si>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</si>
  <si>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</si>
  <si>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</si>
  <si>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</si>
  <si>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</si>
  <si>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</si>
  <si>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</si>
  <si>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</si>
  <si>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</si>
  <si>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</si>
  <si>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</si>
  <si>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</si>
  <si>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</si>
  <si>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</si>
  <si>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</si>
  <si>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</si>
  <si>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</si>
  <si>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</si>
  <si>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</si>
  <si>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</si>
  <si>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</si>
  <si>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</si>
  <si>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</si>
  <si>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</si>
  <si>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</si>
  <si>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</si>
  <si>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</si>
  <si>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</si>
  <si>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</si>
  <si>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</si>
  <si>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</si>
  <si>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</si>
  <si>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</si>
  <si>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</si>
  <si>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</si>
  <si>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</si>
  <si>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</si>
  <si>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</si>
  <si>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</si>
  <si>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</si>
  <si>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</si>
  <si>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</si>
  <si>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</si>
  <si>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</si>
  <si>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</si>
  <si>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</si>
  <si>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</si>
  <si>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</si>
  <si>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</si>
  <si>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</si>
  <si>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</si>
  <si>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</si>
  <si>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</si>
  <si>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</si>
  <si>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</si>
  <si>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</si>
  <si>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</si>
  <si>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</si>
  <si>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</si>
  <si>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</si>
  <si>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</si>
  <si>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</si>
  <si>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</si>
  <si>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</si>
  <si>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</si>
  <si>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</si>
  <si>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</si>
  <si>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</si>
  <si>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</si>
  <si>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</si>
  <si>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</si>
  <si>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</si>
  <si>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</si>
  <si>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</si>
  <si>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</si>
  <si>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</si>
  <si>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</si>
  <si>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</si>
  <si>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</si>
  <si>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</si>
  <si>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</si>
  <si>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</si>
  <si>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</si>
  <si>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</si>
  <si>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</si>
  <si>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</si>
  <si>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</si>
  <si>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both manure and inorganic</t>
  </si>
  <si>
    <t>Yes</t>
  </si>
  <si>
    <t>Yes without the use of a pump</t>
  </si>
  <si>
    <t>November</t>
  </si>
  <si>
    <t>Maize</t>
  </si>
  <si>
    <t>Other farmers</t>
  </si>
  <si>
    <t>December</t>
  </si>
  <si>
    <t>Cabbages</t>
  </si>
  <si>
    <t>July</t>
  </si>
  <si>
    <t>Other crops</t>
  </si>
  <si>
    <t>NGO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</si>
  <si>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</si>
  <si>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</si>
  <si>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</si>
  <si>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</si>
  <si>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</si>
  <si>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</si>
  <si>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</si>
  <si>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</si>
  <si>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</si>
  <si>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</si>
  <si>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</si>
  <si>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</si>
  <si>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</si>
  <si>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</si>
  <si>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</si>
  <si>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</si>
  <si>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</si>
  <si>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</si>
  <si>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</si>
  <si>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barber shop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</si>
  <si>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</si>
  <si>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</si>
  <si>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</si>
  <si>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</si>
  <si>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</si>
  <si>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</si>
  <si>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</si>
  <si>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land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</si>
  <si>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</si>
  <si>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</si>
  <si>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</si>
  <si>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</si>
  <si>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</si>
  <si>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</si>
  <si>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</si>
  <si>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</si>
  <si>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</si>
  <si>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</si>
  <si>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</si>
  <si>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</si>
  <si>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</si>
  <si>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</si>
  <si>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</si>
  <si>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</si>
  <si>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</si>
  <si>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</si>
  <si>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</si>
  <si>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</si>
  <si>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8/28/2015</t>
  </si>
  <si>
    <t>well serviced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</si>
  <si>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</si>
  <si>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</si>
  <si>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</si>
  <si>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</si>
  <si>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</si>
  <si>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</si>
  <si>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</si>
  <si>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</si>
  <si>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</si>
  <si>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</si>
  <si>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</si>
  <si>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2017/8/28</t>
  </si>
  <si>
    <t>Loan terms</t>
  </si>
  <si>
    <t>Expected disbursement date</t>
  </si>
  <si>
    <t>Expected first repayment date</t>
  </si>
  <si>
    <t>2017/9/28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</si>
  <si>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</si>
  <si>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</si>
  <si>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</si>
  <si>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</si>
  <si>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</si>
  <si>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</si>
  <si>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</si>
  <si>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</si>
  <si>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</si>
  <si>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</si>
  <si>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</si>
  <si>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</si>
  <si>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</si>
  <si>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</si>
  <si>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</si>
  <si>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</si>
  <si>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</si>
  <si>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</si>
  <si>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</si>
  <si>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</si>
  <si>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</si>
  <si>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</si>
  <si>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</si>
  <si>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</si>
  <si>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</si>
  <si>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</si>
  <si>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</si>
  <si>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</si>
  <si>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</si>
  <si>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</si>
  <si>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</si>
  <si>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</si>
  <si>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</si>
  <si>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</si>
  <si>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</si>
  <si>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</si>
  <si>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</si>
  <si>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</si>
  <si>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</si>
  <si>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</si>
  <si>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</si>
  <si>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</si>
  <si>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</si>
  <si>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</si>
  <si>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</si>
  <si>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</si>
  <si>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</si>
  <si>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</si>
  <si>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</si>
  <si>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</si>
  <si>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</si>
  <si>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</si>
  <si>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</si>
  <si>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</si>
  <si>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</si>
  <si>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</si>
  <si>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</si>
  <si>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</si>
  <si>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</si>
  <si>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</si>
  <si>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</si>
  <si>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</si>
  <si>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</si>
  <si>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</si>
  <si>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</si>
  <si>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</si>
  <si>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</si>
  <si>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</si>
  <si>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</si>
  <si>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</si>
  <si>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</si>
  <si>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</si>
  <si>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</si>
  <si>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</si>
  <si>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</si>
  <si>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</si>
  <si>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</si>
  <si>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</si>
  <si>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</si>
  <si>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</si>
  <si>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</si>
  <si>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</si>
  <si>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</si>
  <si>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</si>
  <si>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</si>
  <si>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</si>
  <si>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</si>
  <si>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</si>
  <si>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</si>
  <si>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</si>
  <si>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</si>
  <si>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</si>
  <si>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</si>
  <si>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</si>
  <si>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</si>
  <si>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</si>
  <si>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</si>
  <si>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</si>
  <si>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</si>
  <si>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</si>
  <si>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</si>
  <si>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</si>
  <si>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</si>
  <si>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</si>
  <si>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</si>
  <si>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</si>
  <si>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</si>
  <si>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Mangoes</t>
  </si>
  <si>
    <t>Onions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</si>
  <si>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</si>
  <si>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</si>
  <si>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</si>
  <si>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</si>
  <si>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</si>
  <si>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</si>
  <si>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</si>
  <si>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</si>
  <si>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</si>
  <si>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</si>
  <si>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</si>
  <si>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</si>
  <si>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</si>
  <si>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</si>
  <si>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</si>
  <si>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</si>
  <si>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</si>
  <si>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</si>
  <si>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</si>
  <si>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</si>
  <si>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</si>
  <si>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</si>
  <si>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</si>
  <si>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</si>
  <si>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</si>
  <si>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</si>
  <si>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</si>
  <si>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</si>
  <si>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</si>
  <si>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</si>
  <si>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</si>
  <si>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</si>
  <si>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</si>
  <si>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</si>
  <si>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</si>
  <si>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</si>
  <si>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</si>
  <si>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</si>
  <si>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</si>
  <si>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</si>
  <si>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</si>
  <si>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</si>
  <si>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</si>
  <si>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</si>
  <si>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</si>
  <si>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</si>
  <si>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</si>
  <si>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</si>
  <si>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</si>
  <si>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</si>
  <si>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</si>
  <si>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</si>
  <si>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</si>
  <si>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</si>
  <si>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</si>
  <si>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</si>
  <si>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</si>
  <si>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</si>
  <si>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</si>
  <si>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</si>
  <si>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</si>
  <si>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</si>
  <si>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</si>
  <si>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</si>
  <si>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</si>
  <si>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</si>
  <si>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</si>
  <si>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</si>
  <si>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</si>
  <si>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</si>
  <si>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</si>
  <si>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</si>
  <si>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</si>
  <si>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</si>
  <si>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</si>
  <si>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</si>
  <si>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</si>
  <si>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</si>
  <si>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</si>
  <si>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</si>
  <si>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</si>
  <si>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</si>
  <si>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Sometimes</t>
  </si>
  <si>
    <t>Weeks</t>
  </si>
  <si>
    <t>January</t>
  </si>
  <si>
    <t>Yes inorganic fertilizers</t>
  </si>
  <si>
    <t>Yes using a solar pump</t>
  </si>
  <si>
    <t>Always</t>
  </si>
  <si>
    <t>Shop_certified variety</t>
  </si>
  <si>
    <t>August</t>
  </si>
  <si>
    <t>September</t>
  </si>
  <si>
    <t>October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</si>
</sst>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March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Maize,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barber shop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0.239839671402085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0.000892555784736546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390749.0495031474</v>
      </c>
    </row>
    <row r="18" spans="1:7">
      <c r="B18" s="1" t="s">
        <v>12</v>
      </c>
      <c r="C18" s="36">
        <f>MIN(Output!B6:M6)</f>
        <v>-493661.0583057305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372173.3504697062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450000</v>
      </c>
    </row>
    <row r="25" spans="1:7">
      <c r="B25" s="1" t="s">
        <v>18</v>
      </c>
      <c r="C25" s="36">
        <f>MAX(Inputs!A56:A60)</f>
        <v>450000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9585.191694269597</v>
      </c>
      <c r="C6" s="51">
        <f>C30-C88</f>
        <v>135363.4443779988</v>
      </c>
      <c r="D6" s="51">
        <f>D30-D88</f>
        <v>372173.3504697062</v>
      </c>
      <c r="E6" s="51">
        <f>E30-E88</f>
        <v>-62459.59517894001</v>
      </c>
      <c r="F6" s="51">
        <f>F30-F88</f>
        <v>-493661.0583057305</v>
      </c>
      <c r="G6" s="51">
        <f>G30-G88</f>
        <v>-15626.8083057304</v>
      </c>
      <c r="H6" s="51">
        <f>H30-H88</f>
        <v>9585.191694269597</v>
      </c>
      <c r="I6" s="51">
        <f>I30-I88</f>
        <v>135363.4443779988</v>
      </c>
      <c r="J6" s="51">
        <f>J30-J88</f>
        <v>372173.3504697062</v>
      </c>
      <c r="K6" s="51">
        <f>K30-K88</f>
        <v>-62459.59517894001</v>
      </c>
      <c r="L6" s="51">
        <f>L30-L88</f>
        <v>6338.941694269597</v>
      </c>
      <c r="M6" s="51">
        <f>M30-M88</f>
        <v>-15626.8083057304</v>
      </c>
      <c r="N6" s="51">
        <f>N30-N88</f>
        <v>9585.191694269597</v>
      </c>
      <c r="O6" s="51">
        <f>O30-O88</f>
        <v>135363.4443779988</v>
      </c>
      <c r="P6" s="51">
        <f>P30-P88</f>
        <v>372173.3504697062</v>
      </c>
      <c r="Q6" s="51">
        <f>Q30-Q88</f>
        <v>-62459.59517894001</v>
      </c>
      <c r="R6" s="51">
        <f>R30-R88</f>
        <v>6338.941694269597</v>
      </c>
      <c r="S6" s="51">
        <f>S30-S88</f>
        <v>-15626.8083057304</v>
      </c>
      <c r="T6" s="51">
        <f>T30-T88</f>
        <v>9585.191694269597</v>
      </c>
      <c r="U6" s="51">
        <f>U30-U88</f>
        <v>135363.4443779988</v>
      </c>
      <c r="V6" s="51">
        <f>V30-V88</f>
        <v>372173.3504697062</v>
      </c>
      <c r="W6" s="51">
        <f>W30-W88</f>
        <v>-62459.59517894001</v>
      </c>
      <c r="X6" s="51">
        <f>X30-X88</f>
        <v>6338.941694269597</v>
      </c>
      <c r="Y6" s="51">
        <f>Y30-Y88</f>
        <v>-15626.8083057304</v>
      </c>
      <c r="Z6" s="51">
        <f>SUMIF($B$13:$Y$13,"Yes",B6:Y6)</f>
        <v>400334.241197417</v>
      </c>
      <c r="AA6" s="51">
        <f>AA30-AA88</f>
        <v>390749.0495031476</v>
      </c>
      <c r="AB6" s="51">
        <f>AB30-AB88</f>
        <v>1281498.099006294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10017</v>
      </c>
      <c r="I7" s="80">
        <f>IF(ISERROR(VLOOKUP(MONTH(I5),Inputs!$D$66:$D$71,1,0)),"",INDEX(Inputs!$B$66:$B$71,MATCH(MONTH(Output!I5),Inputs!$D$66:$D$71,0))-INDEX(Inputs!$C$66:$C$71,MATCH(MONTH(Output!I5),Inputs!$D$66:$D$71,0)))</f>
        <v>2000</v>
      </c>
      <c r="J7" s="80">
        <f>IF(ISERROR(VLOOKUP(MONTH(J5),Inputs!$D$66:$D$71,1,0)),"",INDEX(Inputs!$B$66:$B$71,MATCH(MONTH(Output!J5),Inputs!$D$66:$D$71,0))-INDEX(Inputs!$C$66:$C$71,MATCH(MONTH(Output!J5),Inputs!$D$66:$D$71,0)))</f>
        <v>14500</v>
      </c>
      <c r="K7" s="80">
        <f>IF(ISERROR(VLOOKUP(MONTH(K5),Inputs!$D$66:$D$71,1,0)),"",INDEX(Inputs!$B$66:$B$71,MATCH(MONTH(Output!K5),Inputs!$D$66:$D$71,0))-INDEX(Inputs!$C$66:$C$71,MATCH(MONTH(Output!K5),Inputs!$D$66:$D$71,0)))</f>
        <v>6000</v>
      </c>
      <c r="L7" s="80">
        <f>IF(ISERROR(VLOOKUP(MONTH(L5),Inputs!$D$66:$D$71,1,0)),"",INDEX(Inputs!$B$66:$B$71,MATCH(MONTH(Output!L5),Inputs!$D$66:$D$71,0))-INDEX(Inputs!$C$66:$C$71,MATCH(MONTH(Output!L5),Inputs!$D$66:$D$71,0)))</f>
        <v>16423</v>
      </c>
      <c r="M7" s="80">
        <f>IF(ISERROR(VLOOKUP(MONTH(M5),Inputs!$D$66:$D$71,1,0)),"",INDEX(Inputs!$B$66:$B$71,MATCH(MONTH(Output!M5),Inputs!$D$66:$D$71,0))-INDEX(Inputs!$C$66:$C$71,MATCH(MONTH(Output!M5),Inputs!$D$66:$D$71,0)))</f>
        <v>14542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10017</v>
      </c>
      <c r="U7" s="80">
        <f>IF(ISERROR(VLOOKUP(MONTH(U5),Inputs!$D$66:$D$71,1,0)),"",INDEX(Inputs!$B$66:$B$71,MATCH(MONTH(Output!U5),Inputs!$D$66:$D$71,0))-INDEX(Inputs!$C$66:$C$71,MATCH(MONTH(Output!U5),Inputs!$D$66:$D$71,0)))</f>
        <v>2000</v>
      </c>
      <c r="V7" s="80">
        <f>IF(ISERROR(VLOOKUP(MONTH(V5),Inputs!$D$66:$D$71,1,0)),"",INDEX(Inputs!$B$66:$B$71,MATCH(MONTH(Output!V5),Inputs!$D$66:$D$71,0))-INDEX(Inputs!$C$66:$C$71,MATCH(MONTH(Output!V5),Inputs!$D$66:$D$71,0)))</f>
        <v>14500</v>
      </c>
      <c r="W7" s="80">
        <f>IF(ISERROR(VLOOKUP(MONTH(W5),Inputs!$D$66:$D$71,1,0)),"",INDEX(Inputs!$B$66:$B$71,MATCH(MONTH(Output!W5),Inputs!$D$66:$D$71,0))-INDEX(Inputs!$C$66:$C$71,MATCH(MONTH(Output!W5),Inputs!$D$66:$D$71,0)))</f>
        <v>6000</v>
      </c>
      <c r="X7" s="80">
        <f>IF(ISERROR(VLOOKUP(MONTH(X5),Inputs!$D$66:$D$71,1,0)),"",INDEX(Inputs!$B$66:$B$71,MATCH(MONTH(Output!X5),Inputs!$D$66:$D$71,0))-INDEX(Inputs!$C$66:$C$71,MATCH(MONTH(Output!X5),Inputs!$D$66:$D$71,0)))</f>
        <v>16423</v>
      </c>
      <c r="Y7" s="80">
        <f>IF(ISERROR(VLOOKUP(MONTH(Y5),Inputs!$D$66:$D$71,1,0)),"",INDEX(Inputs!$B$66:$B$71,MATCH(MONTH(Output!Y5),Inputs!$D$66:$D$71,0))-INDEX(Inputs!$C$66:$C$71,MATCH(MONTH(Output!Y5),Inputs!$D$66:$D$71,0)))</f>
        <v>14542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109585.1916942696</v>
      </c>
      <c r="C11" s="80">
        <f>C6+C9-C10</f>
        <v>125363.4443779988</v>
      </c>
      <c r="D11" s="80">
        <f>D6+D9-D10</f>
        <v>362173.3504697062</v>
      </c>
      <c r="E11" s="80">
        <f>E6+E9-E10</f>
        <v>-72459.59517894001</v>
      </c>
      <c r="F11" s="80">
        <f>F6+F9-F10</f>
        <v>-503661.0583057305</v>
      </c>
      <c r="G11" s="80">
        <f>G6+G9-G10</f>
        <v>-25626.8083057304</v>
      </c>
      <c r="H11" s="80">
        <f>H6+H9-H10</f>
        <v>-414.8083057304029</v>
      </c>
      <c r="I11" s="80">
        <f>I6+I9-I10</f>
        <v>125363.4443779988</v>
      </c>
      <c r="J11" s="80">
        <f>J6+J9-J10</f>
        <v>362173.3504697062</v>
      </c>
      <c r="K11" s="80">
        <f>K6+K9-K10</f>
        <v>-72459.59517894001</v>
      </c>
      <c r="L11" s="80">
        <f>L6+L9-L10</f>
        <v>-3661.058305730403</v>
      </c>
      <c r="M11" s="80">
        <f>M6+M9-M10</f>
        <v>-25626.8083057304</v>
      </c>
      <c r="N11" s="80">
        <f>N6+N9-N10</f>
        <v>-414.8083057304029</v>
      </c>
      <c r="O11" s="80">
        <f>O6+O9-O10</f>
        <v>135363.4443779988</v>
      </c>
      <c r="P11" s="80">
        <f>P6+P9-P10</f>
        <v>372173.3504697062</v>
      </c>
      <c r="Q11" s="80">
        <f>Q6+Q9-Q10</f>
        <v>-62459.59517894001</v>
      </c>
      <c r="R11" s="80">
        <f>R6+R9-R10</f>
        <v>6338.941694269597</v>
      </c>
      <c r="S11" s="80">
        <f>S6+S9-S10</f>
        <v>-15626.8083057304</v>
      </c>
      <c r="T11" s="80">
        <f>T6+T9-T10</f>
        <v>9585.191694269597</v>
      </c>
      <c r="U11" s="80">
        <f>U6+U9-U10</f>
        <v>135363.4443779988</v>
      </c>
      <c r="V11" s="80">
        <f>V6+V9-V10</f>
        <v>372173.3504697062</v>
      </c>
      <c r="W11" s="80">
        <f>W6+W9-W10</f>
        <v>-62459.59517894001</v>
      </c>
      <c r="X11" s="80">
        <f>X6+X9-X10</f>
        <v>6338.941694269597</v>
      </c>
      <c r="Y11" s="80">
        <f>Y6+Y9-Y10</f>
        <v>-15626.8083057304</v>
      </c>
      <c r="Z11" s="85">
        <f>SUMIF($B$13:$Y$13,"Yes",B11:Y11)</f>
        <v>380334.2411974171</v>
      </c>
      <c r="AA11" s="80">
        <f>SUM(B11:M11)</f>
        <v>380749.0495031475</v>
      </c>
      <c r="AB11" s="46">
        <f>SUM(B11:Y11)</f>
        <v>1261498.099006295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0.04082488541413904</v>
      </c>
      <c r="D12" s="82">
        <f>IF(D13="Yes",IF(SUM($B$10:D10)/(SUM($B$6:D6)+SUM($B$9:D9))&lt;0,999.99,SUM($B$10:D10)/(SUM($B$6:D6)+SUM($B$9:D9))),"")</f>
        <v>0.03240850340152265</v>
      </c>
      <c r="E12" s="82">
        <f>IF(E13="Yes",IF(SUM($B$10:E10)/(SUM($B$6:E6)+SUM($B$9:E9))&lt;0,999.99,SUM($B$10:E10)/(SUM($B$6:E6)+SUM($B$9:E9))),"")</f>
        <v>0.05408695535725365</v>
      </c>
      <c r="F12" s="82">
        <f>IF(F13="Yes",IF(SUM($B$10:F10)/(SUM($B$6:F6)+SUM($B$9:F9))&lt;0,999.99,SUM($B$10:F10)/(SUM($B$6:F6)+SUM($B$9:F9))),"")</f>
        <v>0.6557233751338583</v>
      </c>
      <c r="G12" s="82">
        <f>IF(G13="Yes",IF(SUM($B$10:G10)/(SUM($B$6:G6)+SUM($B$9:G9))&lt;0,999.99,SUM($B$10:G10)/(SUM($B$6:G6)+SUM($B$9:G9))),"")</f>
        <v>1.101939916147903</v>
      </c>
      <c r="H12" s="82">
        <f>IF(H13="Yes",IF(SUM($B$10:H10)/(SUM($B$6:H6)+SUM($B$9:H9))&lt;0,999.99,SUM($B$10:H10)/(SUM($B$6:H6)+SUM($B$9:H9))),"")</f>
        <v>1.091708689201907</v>
      </c>
      <c r="I12" s="82">
        <f>IF(I13="Yes",IF(SUM($B$10:I10)/(SUM($B$6:I6)+SUM($B$9:I9))&lt;0,999.99,SUM($B$10:I10)/(SUM($B$6:I6)+SUM($B$9:I9))),"")</f>
        <v>0.3677954889830257</v>
      </c>
      <c r="J12" s="82">
        <f>IF(J13="Yes",IF(SUM($B$10:J10)/(SUM($B$6:J6)+SUM($B$9:J9))&lt;0,999.99,SUM($B$10:J10)/(SUM($B$6:J6)+SUM($B$9:J9))),"")</f>
        <v>0.1422231043105095</v>
      </c>
      <c r="K12" s="82">
        <f>IF(K13="Yes",IF(SUM($B$10:K10)/(SUM($B$6:K6)+SUM($B$9:K9))&lt;0,999.99,SUM($B$10:K10)/(SUM($B$6:K6)+SUM($B$9:K9))),"")</f>
        <v>0.1799867111798843</v>
      </c>
      <c r="L12" s="82">
        <f>IF(L13="Yes",IF(SUM($B$10:L10)/(SUM($B$6:L6)+SUM($B$9:L9))&lt;0,999.99,SUM($B$10:L10)/(SUM($B$6:L6)+SUM($B$9:L9))),"")</f>
        <v>0.1974817686465281</v>
      </c>
      <c r="M12" s="82">
        <f>IF(M13="Yes",IF(SUM($B$10:M10)/(SUM($B$6:M6)+SUM($B$9:M9))&lt;0,999.99,SUM($B$10:M10)/(SUM($B$6:M6)+SUM($B$9:M9))),"")</f>
        <v>0.2241471483467326</v>
      </c>
      <c r="N12" s="82">
        <f>IF(N13="Yes",IF(SUM($B$10:N10)/(SUM($B$6:N6)+SUM($B$9:N9))&lt;0,999.99,SUM($B$10:N10)/(SUM($B$6:N6)+SUM($B$9:N9))),"")</f>
        <v>0.239839671402085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129878.2526837292</v>
      </c>
      <c r="D18" s="36">
        <f>P18</f>
        <v>129878.2526837292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129878.2526837292</v>
      </c>
      <c r="J18" s="36">
        <f>V18</f>
        <v>129878.2526837292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129878.2526837292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129878.2526837292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129878.2526837292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129878.2526837292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519513.0107349168</v>
      </c>
      <c r="AA18" s="36">
        <f>SUM(B18:M18)</f>
        <v>519513.0107349168</v>
      </c>
      <c r="AB18" s="36">
        <f>SUM(B18:Y18)</f>
        <v>1039026.021469833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32380.38593899199</v>
      </c>
      <c r="E19" s="36">
        <f>Q19</f>
        <v>38856.46312679039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32380.38593899199</v>
      </c>
      <c r="K19" s="36">
        <f>W19</f>
        <v>38856.46312679039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32380.38593899199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38856.46312679039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32380.38593899199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38856.46312679039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142473.6981315648</v>
      </c>
      <c r="AA19" s="36">
        <f>SUM(B19:M19)</f>
        <v>142473.6981315648</v>
      </c>
      <c r="AB19" s="36">
        <f>SUM(B19:Y19)</f>
        <v>284947.3962631295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>
        <f>N20</f>
        <v>0</v>
      </c>
      <c r="C20" s="36">
        <f>O20</f>
        <v>0</v>
      </c>
      <c r="D20" s="36">
        <f>P20</f>
        <v>191732.5972283886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191732.5972283886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191732.5972283886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191732.5972283886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383465.1944567772</v>
      </c>
      <c r="AA20" s="36">
        <f>SUM(B20:M20)</f>
        <v>383465.1944567772</v>
      </c>
      <c r="AB20" s="36">
        <f>SUM(B20:Y20)</f>
        <v>766930.3889135545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145000</v>
      </c>
      <c r="C29" s="37">
        <f>Inputs!$B$30</f>
        <v>145000</v>
      </c>
      <c r="D29" s="37">
        <f>Inputs!$B$30</f>
        <v>145000</v>
      </c>
      <c r="E29" s="37">
        <f>Inputs!$B$30</f>
        <v>145000</v>
      </c>
      <c r="F29" s="37">
        <f>Inputs!$B$30</f>
        <v>145000</v>
      </c>
      <c r="G29" s="37">
        <f>Inputs!$B$30</f>
        <v>145000</v>
      </c>
      <c r="H29" s="37">
        <f>Inputs!$B$30</f>
        <v>145000</v>
      </c>
      <c r="I29" s="37">
        <f>Inputs!$B$30</f>
        <v>145000</v>
      </c>
      <c r="J29" s="37">
        <f>Inputs!$B$30</f>
        <v>145000</v>
      </c>
      <c r="K29" s="37">
        <f>Inputs!$B$30</f>
        <v>145000</v>
      </c>
      <c r="L29" s="37">
        <f>Inputs!$B$30</f>
        <v>145000</v>
      </c>
      <c r="M29" s="37">
        <f>Inputs!$B$30</f>
        <v>145000</v>
      </c>
      <c r="N29" s="37">
        <f>Inputs!$B$30</f>
        <v>145000</v>
      </c>
      <c r="O29" s="37">
        <f>Inputs!$B$30</f>
        <v>145000</v>
      </c>
      <c r="P29" s="37">
        <f>Inputs!$B$30</f>
        <v>145000</v>
      </c>
      <c r="Q29" s="37">
        <f>Inputs!$B$30</f>
        <v>145000</v>
      </c>
      <c r="R29" s="37">
        <f>Inputs!$B$30</f>
        <v>145000</v>
      </c>
      <c r="S29" s="37">
        <f>Inputs!$B$30</f>
        <v>145000</v>
      </c>
      <c r="T29" s="37">
        <f>Inputs!$B$30</f>
        <v>145000</v>
      </c>
      <c r="U29" s="37">
        <f>Inputs!$B$30</f>
        <v>145000</v>
      </c>
      <c r="V29" s="37">
        <f>Inputs!$B$30</f>
        <v>145000</v>
      </c>
      <c r="W29" s="37">
        <f>Inputs!$B$30</f>
        <v>145000</v>
      </c>
      <c r="X29" s="37">
        <f>Inputs!$B$30</f>
        <v>145000</v>
      </c>
      <c r="Y29" s="37">
        <f>Inputs!$B$30</f>
        <v>145000</v>
      </c>
      <c r="Z29" s="37">
        <f>SUMIF($B$13:$Y$13,"Yes",B29:Y29)</f>
        <v>1885000</v>
      </c>
      <c r="AA29" s="37">
        <f>SUM(B29:M29)</f>
        <v>1740000</v>
      </c>
      <c r="AB29" s="37">
        <f>SUM(B29:Y29)</f>
        <v>3480000</v>
      </c>
    </row>
    <row r="30" spans="1:30" customHeight="1" ht="15.75">
      <c r="A30" s="1" t="s">
        <v>37</v>
      </c>
      <c r="B30" s="19">
        <f>SUM(B18:B29)</f>
        <v>145000</v>
      </c>
      <c r="C30" s="19">
        <f>SUM(C18:C29)</f>
        <v>274878.2526837292</v>
      </c>
      <c r="D30" s="19">
        <f>SUM(D18:D29)</f>
        <v>498991.2358511098</v>
      </c>
      <c r="E30" s="19">
        <f>SUM(E18:E29)</f>
        <v>183856.4631267904</v>
      </c>
      <c r="F30" s="19">
        <f>SUM(F18:F29)</f>
        <v>145000</v>
      </c>
      <c r="G30" s="19">
        <f>SUM(G18:G29)</f>
        <v>145000</v>
      </c>
      <c r="H30" s="19">
        <f>SUM(H18:H29)</f>
        <v>145000</v>
      </c>
      <c r="I30" s="19">
        <f>SUM(I18:I29)</f>
        <v>274878.2526837292</v>
      </c>
      <c r="J30" s="19">
        <f>SUM(J18:J29)</f>
        <v>498991.2358511098</v>
      </c>
      <c r="K30" s="19">
        <f>SUM(K18:K29)</f>
        <v>183856.4631267904</v>
      </c>
      <c r="L30" s="19">
        <f>SUM(L18:L29)</f>
        <v>145000</v>
      </c>
      <c r="M30" s="19">
        <f>SUM(M18:M29)</f>
        <v>145000</v>
      </c>
      <c r="N30" s="19">
        <f>SUM(N18:N29)</f>
        <v>145000</v>
      </c>
      <c r="O30" s="19">
        <f>SUM(O18:O29)</f>
        <v>274878.2526837292</v>
      </c>
      <c r="P30" s="19">
        <f>SUM(P18:P29)</f>
        <v>498991.2358511098</v>
      </c>
      <c r="Q30" s="19">
        <f>SUM(Q18:Q29)</f>
        <v>183856.4631267904</v>
      </c>
      <c r="R30" s="19">
        <f>SUM(R18:R29)</f>
        <v>145000</v>
      </c>
      <c r="S30" s="19">
        <f>SUM(S18:S29)</f>
        <v>145000</v>
      </c>
      <c r="T30" s="19">
        <f>SUM(T18:T29)</f>
        <v>145000</v>
      </c>
      <c r="U30" s="19">
        <f>SUM(U18:U29)</f>
        <v>274878.2526837292</v>
      </c>
      <c r="V30" s="19">
        <f>SUM(V18:V29)</f>
        <v>498991.2358511098</v>
      </c>
      <c r="W30" s="19">
        <f>SUM(W18:W29)</f>
        <v>183856.4631267904</v>
      </c>
      <c r="X30" s="19">
        <f>SUM(X18:X29)</f>
        <v>145000</v>
      </c>
      <c r="Y30" s="19">
        <f>SUM(Y18:Y29)</f>
        <v>145000</v>
      </c>
      <c r="Z30" s="19">
        <f>SUMIF($B$13:$Y$13,"Yes",B30:Y30)</f>
        <v>2930451.903323259</v>
      </c>
      <c r="AA30" s="19">
        <f>SUM(B30:M30)</f>
        <v>2785451.903323259</v>
      </c>
      <c r="AB30" s="19">
        <f>SUM(B30:Y30)</f>
        <v>5570903.806646518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10000</v>
      </c>
      <c r="F36" s="36">
        <f>R36</f>
        <v>10000</v>
      </c>
      <c r="G36" s="36">
        <f>S36</f>
        <v>4000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10000</v>
      </c>
      <c r="L36" s="36">
        <f>X36</f>
        <v>10000</v>
      </c>
      <c r="M36" s="36">
        <f>Y36</f>
        <v>4000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10000</v>
      </c>
      <c r="R36" s="36">
        <f>SUM(R37:R41)</f>
        <v>10000</v>
      </c>
      <c r="S36" s="36">
        <f>SUM(S37:S41)</f>
        <v>4000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10000</v>
      </c>
      <c r="X36" s="36">
        <f>SUM(X37:X41)</f>
        <v>10000</v>
      </c>
      <c r="Y36" s="36">
        <f>SUM(Y37:Y41)</f>
        <v>4000</v>
      </c>
      <c r="Z36" s="36">
        <f>SUMIF($B$13:$Y$13,"Yes",B36:Y36)</f>
        <v>48000</v>
      </c>
      <c r="AA36" s="36">
        <f>SUM(B36:M36)</f>
        <v>48000</v>
      </c>
      <c r="AB36" s="36">
        <f>SUM(B36:Y36)</f>
        <v>96000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10000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10000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10000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10000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20000</v>
      </c>
      <c r="AA37" s="36">
        <f>SUM(B37:M37)</f>
        <v>20000</v>
      </c>
      <c r="AB37" s="36">
        <f>SUM(B37:Y37)</f>
        <v>40000</v>
      </c>
      <c r="AC37" s="73"/>
    </row>
    <row r="38" spans="1:30" hidden="true" outlineLevel="1">
      <c r="A38" s="181" t="str">
        <f>Calculations!$A$5</f>
        <v>Maize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10000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10000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10000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10000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20000</v>
      </c>
      <c r="AA38" s="36">
        <f>SUM(B38:M38)</f>
        <v>20000</v>
      </c>
      <c r="AB38" s="36">
        <f>SUM(B38:Y38)</f>
        <v>40000</v>
      </c>
      <c r="AC38" s="73"/>
    </row>
    <row r="39" spans="1:30" hidden="true" outlineLevel="1">
      <c r="A39" s="181" t="str">
        <f>Calculations!$A$6</f>
        <v>Cabbages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4000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4000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4000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4000</v>
      </c>
      <c r="Z39" s="36">
        <f>SUMIF($B$13:$Y$13,"Yes",B39:Y39)</f>
        <v>8000</v>
      </c>
      <c r="AA39" s="36">
        <f>SUM(B39:M39)</f>
        <v>8000</v>
      </c>
      <c r="AB39" s="36">
        <f>SUM(B39:Y39)</f>
        <v>16000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120000</v>
      </c>
      <c r="F42" s="36">
        <f>R42</f>
        <v>1515</v>
      </c>
      <c r="G42" s="36">
        <f>S42</f>
        <v>1212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120000</v>
      </c>
      <c r="L42" s="36">
        <f>X42</f>
        <v>1515</v>
      </c>
      <c r="M42" s="36">
        <f>Y42</f>
        <v>1212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120000</v>
      </c>
      <c r="R42" s="36">
        <f>SUM(R43:R47)</f>
        <v>1515</v>
      </c>
      <c r="S42" s="36">
        <f>SUM(S43:S47)</f>
        <v>1212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120000</v>
      </c>
      <c r="X42" s="36">
        <f>SUM(X43:X47)</f>
        <v>1515</v>
      </c>
      <c r="Y42" s="36">
        <f>SUM(Y43:Y47)</f>
        <v>1212</v>
      </c>
      <c r="Z42" s="36">
        <f>SUMIF($B$13:$Y$13,"Yes",B42:Y42)</f>
        <v>245454</v>
      </c>
      <c r="AA42" s="36">
        <f>SUM(B42:M42)</f>
        <v>245454</v>
      </c>
      <c r="AB42" s="36">
        <f>SUM(B42:Y42)</f>
        <v>490908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120000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120000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120000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120000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240000</v>
      </c>
      <c r="AA43" s="36">
        <f>SUM(B43:M43)</f>
        <v>240000</v>
      </c>
      <c r="AB43" s="36">
        <f>SUM(B43:Y43)</f>
        <v>480000</v>
      </c>
    </row>
    <row r="44" spans="1:30" hidden="true" outlineLevel="1">
      <c r="A44" s="181" t="str">
        <f>Calculations!$A$5</f>
        <v>Maize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1515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1515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1515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1515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3030</v>
      </c>
      <c r="AA44" s="36">
        <f>SUM(B44:M44)</f>
        <v>3030</v>
      </c>
      <c r="AB44" s="36">
        <f>SUM(B44:Y44)</f>
        <v>6060.000000000001</v>
      </c>
    </row>
    <row r="45" spans="1:30" hidden="true" outlineLevel="1">
      <c r="A45" s="181" t="str">
        <f>Calculations!$A$6</f>
        <v>Cabbages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1212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1212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1212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1212</v>
      </c>
      <c r="Z45" s="36">
        <f>SUMIF($B$13:$Y$13,"Yes",B45:Y45)</f>
        <v>2424</v>
      </c>
      <c r="AA45" s="36">
        <f>SUM(B45:M45)</f>
        <v>2424</v>
      </c>
      <c r="AB45" s="36">
        <f>SUM(B45:Y45)</f>
        <v>4848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1500</v>
      </c>
      <c r="C48" s="36">
        <f>O48</f>
        <v>5600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21500</v>
      </c>
      <c r="H48" s="36">
        <f>T48</f>
        <v>1500</v>
      </c>
      <c r="I48" s="36">
        <f>U48</f>
        <v>5600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21500</v>
      </c>
      <c r="N48" s="46">
        <f>SUM(N49:N53)</f>
        <v>1500</v>
      </c>
      <c r="O48" s="46">
        <f>SUM(O49:O53)</f>
        <v>5600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21500</v>
      </c>
      <c r="T48" s="46">
        <f>SUM(T49:T53)</f>
        <v>1500</v>
      </c>
      <c r="U48" s="46">
        <f>SUM(U49:U53)</f>
        <v>5600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21500</v>
      </c>
      <c r="Z48" s="46">
        <f>SUMIF($B$13:$Y$13,"Yes",B48:Y48)</f>
        <v>58700</v>
      </c>
      <c r="AA48" s="46">
        <f>SUM(B48:M48)</f>
        <v>57200</v>
      </c>
      <c r="AB48" s="46">
        <f>SUM(B48:Y48)</f>
        <v>114400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21500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21500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21500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21500</v>
      </c>
      <c r="Z49" s="46">
        <f>SUMIF($B$13:$Y$13,"Yes",B49:Y49)</f>
        <v>43000</v>
      </c>
      <c r="AA49" s="46">
        <f>SUM(B49:M49)</f>
        <v>43000</v>
      </c>
      <c r="AB49" s="46">
        <f>SUM(B49:Y49)</f>
        <v>86000</v>
      </c>
    </row>
    <row r="50" spans="1:30" hidden="true" outlineLevel="1">
      <c r="A50" s="181" t="str">
        <f>Calculations!$A$5</f>
        <v>Maize</v>
      </c>
      <c r="B50" s="36">
        <f>N50</f>
        <v>1500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1500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1500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1500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4500</v>
      </c>
      <c r="AA50" s="46">
        <f>SUM(B50:M50)</f>
        <v>3000</v>
      </c>
      <c r="AB50" s="46">
        <f>SUM(B50:Y50)</f>
        <v>6000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5600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5600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5600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5600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11200</v>
      </c>
      <c r="AA51" s="46">
        <f>SUM(B51:M51)</f>
        <v>11200</v>
      </c>
      <c r="AB51" s="46">
        <f>SUM(B51:Y51)</f>
        <v>22400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3733.077075673262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3733.077075673262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3733.077075673262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3733.077075673262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7466.154151346524</v>
      </c>
      <c r="AA54" s="46">
        <f>SUM(B54:M54)</f>
        <v>7466.154151346524</v>
      </c>
      <c r="AB54" s="46">
        <f>SUM(B54:Y54)</f>
        <v>14932.30830269305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3733.077075673262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3733.077075673262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3733.077075673262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3733.077075673262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7466.154151346524</v>
      </c>
      <c r="AA56" s="46">
        <f>SUM(B56:M56)</f>
        <v>7466.154151346524</v>
      </c>
      <c r="AB56" s="46">
        <f>SUM(B56:Y56)</f>
        <v>14932.30830269305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28428.75</v>
      </c>
      <c r="C66" s="36">
        <f>O66</f>
        <v>28428.75</v>
      </c>
      <c r="D66" s="36">
        <f>P66</f>
        <v>17598.75</v>
      </c>
      <c r="E66" s="36">
        <f>Q66</f>
        <v>10830</v>
      </c>
      <c r="F66" s="36">
        <f>R66</f>
        <v>21660</v>
      </c>
      <c r="G66" s="36">
        <f>S66</f>
        <v>28428.75</v>
      </c>
      <c r="H66" s="36">
        <f>T66</f>
        <v>28428.75</v>
      </c>
      <c r="I66" s="36">
        <f>U66</f>
        <v>28428.75</v>
      </c>
      <c r="J66" s="36">
        <f>V66</f>
        <v>17598.75</v>
      </c>
      <c r="K66" s="36">
        <f>W66</f>
        <v>10830</v>
      </c>
      <c r="L66" s="36">
        <f>X66</f>
        <v>21660</v>
      </c>
      <c r="M66" s="36">
        <f>Y66</f>
        <v>28428.75</v>
      </c>
      <c r="N66" s="46">
        <f>SUM(N67:N71)</f>
        <v>28428.75</v>
      </c>
      <c r="O66" s="46">
        <f>SUM(O67:O71)</f>
        <v>28428.75</v>
      </c>
      <c r="P66" s="46">
        <f>SUM(P67:P71)</f>
        <v>17598.75</v>
      </c>
      <c r="Q66" s="46">
        <f>SUM(Q67:Q71)</f>
        <v>10830</v>
      </c>
      <c r="R66" s="46">
        <f>SUM(R67:R71)</f>
        <v>21660</v>
      </c>
      <c r="S66" s="46">
        <f>SUM(S67:S71)</f>
        <v>28428.75</v>
      </c>
      <c r="T66" s="46">
        <f>SUM(T67:T71)</f>
        <v>28428.75</v>
      </c>
      <c r="U66" s="46">
        <f>SUM(U67:U71)</f>
        <v>28428.75</v>
      </c>
      <c r="V66" s="46">
        <f>SUM(V67:V71)</f>
        <v>17598.75</v>
      </c>
      <c r="W66" s="46">
        <f>SUM(W67:W71)</f>
        <v>10830</v>
      </c>
      <c r="X66" s="46">
        <f>SUM(X67:X71)</f>
        <v>21660</v>
      </c>
      <c r="Y66" s="46">
        <f>SUM(Y67:Y71)</f>
        <v>28428.75</v>
      </c>
      <c r="Z66" s="46">
        <f>SUMIF($B$13:$Y$13,"Yes",B66:Y66)</f>
        <v>299178.75</v>
      </c>
      <c r="AA66" s="46">
        <f>SUM(B66:M66)</f>
        <v>270750</v>
      </c>
      <c r="AB66" s="46">
        <f>SUM(B66:Y66)</f>
        <v>541500</v>
      </c>
    </row>
    <row r="67" spans="1:30" hidden="true" outlineLevel="1">
      <c r="A67" s="181" t="str">
        <f>Calculations!$A$4</f>
        <v>Potatoes</v>
      </c>
      <c r="B67" s="36">
        <f>N67</f>
        <v>10830</v>
      </c>
      <c r="C67" s="36">
        <f>O67</f>
        <v>10830</v>
      </c>
      <c r="D67" s="36">
        <f>P67</f>
        <v>0</v>
      </c>
      <c r="E67" s="36">
        <f>Q67</f>
        <v>10830</v>
      </c>
      <c r="F67" s="36">
        <f>R67</f>
        <v>10830</v>
      </c>
      <c r="G67" s="36">
        <f>S67</f>
        <v>10830</v>
      </c>
      <c r="H67" s="36">
        <f>T67</f>
        <v>10830</v>
      </c>
      <c r="I67" s="36">
        <f>U67</f>
        <v>10830</v>
      </c>
      <c r="J67" s="36">
        <f>V67</f>
        <v>0</v>
      </c>
      <c r="K67" s="36">
        <f>W67</f>
        <v>10830</v>
      </c>
      <c r="L67" s="36">
        <f>X67</f>
        <v>10830</v>
      </c>
      <c r="M67" s="36">
        <f>Y67</f>
        <v>10830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10830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10830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10830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10830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10830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10830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10830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10830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10830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10830</v>
      </c>
      <c r="Z67" s="46">
        <f>SUMIF($B$13:$Y$13,"Yes",B67:Y67)</f>
        <v>119130</v>
      </c>
      <c r="AA67" s="46">
        <f>SUM(B67:M67)</f>
        <v>108300</v>
      </c>
      <c r="AB67" s="46">
        <f>SUM(B67:Y67)</f>
        <v>216600</v>
      </c>
    </row>
    <row r="68" spans="1:30" hidden="true" outlineLevel="1">
      <c r="A68" s="181" t="str">
        <f>Calculations!$A$5</f>
        <v>Maize</v>
      </c>
      <c r="B68" s="36">
        <f>N68</f>
        <v>10830</v>
      </c>
      <c r="C68" s="36">
        <f>O68</f>
        <v>10830</v>
      </c>
      <c r="D68" s="36">
        <f>P68</f>
        <v>10830</v>
      </c>
      <c r="E68" s="36">
        <f>Q68</f>
        <v>0</v>
      </c>
      <c r="F68" s="36">
        <f>R68</f>
        <v>10830</v>
      </c>
      <c r="G68" s="36">
        <f>S68</f>
        <v>10830</v>
      </c>
      <c r="H68" s="36">
        <f>T68</f>
        <v>10830</v>
      </c>
      <c r="I68" s="36">
        <f>U68</f>
        <v>10830</v>
      </c>
      <c r="J68" s="36">
        <f>V68</f>
        <v>10830</v>
      </c>
      <c r="K68" s="36">
        <f>W68</f>
        <v>0</v>
      </c>
      <c r="L68" s="36">
        <f>X68</f>
        <v>10830</v>
      </c>
      <c r="M68" s="36">
        <f>Y68</f>
        <v>10830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10830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10830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10830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10830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10830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10830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10830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10830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10830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10830</v>
      </c>
      <c r="Z68" s="46">
        <f>SUMIF($B$13:$Y$13,"Yes",B68:Y68)</f>
        <v>119130</v>
      </c>
      <c r="AA68" s="46">
        <f>SUM(B68:M68)</f>
        <v>108300</v>
      </c>
      <c r="AB68" s="46">
        <f>SUM(B68:Y68)</f>
        <v>216600</v>
      </c>
    </row>
    <row r="69" spans="1:30" hidden="true" outlineLevel="1">
      <c r="A69" s="181" t="str">
        <f>Calculations!$A$6</f>
        <v>Cabbages</v>
      </c>
      <c r="B69" s="36">
        <f>N69</f>
        <v>6768.75</v>
      </c>
      <c r="C69" s="36">
        <f>O69</f>
        <v>6768.75</v>
      </c>
      <c r="D69" s="36">
        <f>P69</f>
        <v>6768.75</v>
      </c>
      <c r="E69" s="36">
        <f>Q69</f>
        <v>0</v>
      </c>
      <c r="F69" s="36">
        <f>R69</f>
        <v>0</v>
      </c>
      <c r="G69" s="36">
        <f>S69</f>
        <v>6768.75</v>
      </c>
      <c r="H69" s="36">
        <f>T69</f>
        <v>6768.75</v>
      </c>
      <c r="I69" s="36">
        <f>U69</f>
        <v>6768.75</v>
      </c>
      <c r="J69" s="36">
        <f>V69</f>
        <v>6768.75</v>
      </c>
      <c r="K69" s="36">
        <f>W69</f>
        <v>0</v>
      </c>
      <c r="L69" s="36">
        <f>X69</f>
        <v>0</v>
      </c>
      <c r="M69" s="36">
        <f>Y69</f>
        <v>6768.75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6768.75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6768.75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6768.75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6768.75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6768.75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6768.75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6768.75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6768.75</v>
      </c>
      <c r="Z69" s="46">
        <f>SUMIF($B$13:$Y$13,"Yes",B69:Y69)</f>
        <v>60918.75</v>
      </c>
      <c r="AA69" s="46">
        <f>SUM(B69:M69)</f>
        <v>54150</v>
      </c>
      <c r="AB69" s="46">
        <f>SUM(B69:Y69)</f>
        <v>108300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56000</v>
      </c>
      <c r="C79" s="46">
        <f>Inputs!$B$31</f>
        <v>56000</v>
      </c>
      <c r="D79" s="46">
        <f>Inputs!$B$31</f>
        <v>56000</v>
      </c>
      <c r="E79" s="46">
        <f>Inputs!$B$31</f>
        <v>56000</v>
      </c>
      <c r="F79" s="46">
        <f>Inputs!$B$31</f>
        <v>56000</v>
      </c>
      <c r="G79" s="46">
        <f>Inputs!$B$31</f>
        <v>56000</v>
      </c>
      <c r="H79" s="46">
        <f>Inputs!$B$31</f>
        <v>56000</v>
      </c>
      <c r="I79" s="46">
        <f>Inputs!$B$31</f>
        <v>56000</v>
      </c>
      <c r="J79" s="46">
        <f>Inputs!$B$31</f>
        <v>56000</v>
      </c>
      <c r="K79" s="46">
        <f>Inputs!$B$31</f>
        <v>56000</v>
      </c>
      <c r="L79" s="46">
        <f>Inputs!$B$31</f>
        <v>56000</v>
      </c>
      <c r="M79" s="46">
        <f>Inputs!$B$31</f>
        <v>56000</v>
      </c>
      <c r="N79" s="46">
        <f>Inputs!$B$31</f>
        <v>56000</v>
      </c>
      <c r="O79" s="46">
        <f>Inputs!$B$31</f>
        <v>56000</v>
      </c>
      <c r="P79" s="46">
        <f>Inputs!$B$31</f>
        <v>56000</v>
      </c>
      <c r="Q79" s="46">
        <f>Inputs!$B$31</f>
        <v>56000</v>
      </c>
      <c r="R79" s="46">
        <f>Inputs!$B$31</f>
        <v>56000</v>
      </c>
      <c r="S79" s="46">
        <f>Inputs!$B$31</f>
        <v>56000</v>
      </c>
      <c r="T79" s="46">
        <f>Inputs!$B$31</f>
        <v>56000</v>
      </c>
      <c r="U79" s="46">
        <f>Inputs!$B$31</f>
        <v>56000</v>
      </c>
      <c r="V79" s="46">
        <f>Inputs!$B$31</f>
        <v>56000</v>
      </c>
      <c r="W79" s="46">
        <f>Inputs!$B$31</f>
        <v>56000</v>
      </c>
      <c r="X79" s="46">
        <f>Inputs!$B$31</f>
        <v>56000</v>
      </c>
      <c r="Y79" s="46">
        <f>Inputs!$B$31</f>
        <v>56000</v>
      </c>
      <c r="Z79" s="46">
        <f>SUMIF($B$13:$Y$13,"Yes",B79:Y79)</f>
        <v>728000</v>
      </c>
      <c r="AA79" s="46">
        <f>SUM(B79:M79)</f>
        <v>672000</v>
      </c>
      <c r="AB79" s="46">
        <f>SUM(B79:Y79)</f>
        <v>1344000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500000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500000</v>
      </c>
      <c r="AA80" s="46">
        <f>SUM(B80:M80)</f>
        <v>500000</v>
      </c>
      <c r="AB80" s="46">
        <f>SUM(B80:Y80)</f>
        <v>500000</v>
      </c>
    </row>
    <row r="81" spans="1:30">
      <c r="A81" s="43" t="s">
        <v>51</v>
      </c>
      <c r="B81" s="46">
        <f>(SUM($AA$18:$AA$29)-SUM($AA$36,$AA$42,$AA$48,$AA$54,$AA$60,$AA$66,$AA$72:$AA$79))*Parameters!$B$37/12</f>
        <v>49486.05830573041</v>
      </c>
      <c r="C81" s="46">
        <f>(SUM($AA$18:$AA$29)-SUM($AA$36,$AA$42,$AA$48,$AA$54,$AA$60,$AA$66,$AA$72:$AA$79))*Parameters!$B$37/12</f>
        <v>49486.05830573041</v>
      </c>
      <c r="D81" s="46">
        <f>(SUM($AA$18:$AA$29)-SUM($AA$36,$AA$42,$AA$48,$AA$54,$AA$60,$AA$66,$AA$72:$AA$79))*Parameters!$B$37/12</f>
        <v>49486.05830573041</v>
      </c>
      <c r="E81" s="46">
        <f>(SUM($AA$18:$AA$29)-SUM($AA$36,$AA$42,$AA$48,$AA$54,$AA$60,$AA$66,$AA$72:$AA$79))*Parameters!$B$37/12</f>
        <v>49486.05830573041</v>
      </c>
      <c r="F81" s="46">
        <f>(SUM($AA$18:$AA$29)-SUM($AA$36,$AA$42,$AA$48,$AA$54,$AA$60,$AA$66,$AA$72:$AA$79))*Parameters!$B$37/12</f>
        <v>49486.05830573041</v>
      </c>
      <c r="G81" s="46">
        <f>(SUM($AA$18:$AA$29)-SUM($AA$36,$AA$42,$AA$48,$AA$54,$AA$60,$AA$66,$AA$72:$AA$79))*Parameters!$B$37/12</f>
        <v>49486.05830573041</v>
      </c>
      <c r="H81" s="46">
        <f>(SUM($AA$18:$AA$29)-SUM($AA$36,$AA$42,$AA$48,$AA$54,$AA$60,$AA$66,$AA$72:$AA$79))*Parameters!$B$37/12</f>
        <v>49486.05830573041</v>
      </c>
      <c r="I81" s="46">
        <f>(SUM($AA$18:$AA$29)-SUM($AA$36,$AA$42,$AA$48,$AA$54,$AA$60,$AA$66,$AA$72:$AA$79))*Parameters!$B$37/12</f>
        <v>49486.05830573041</v>
      </c>
      <c r="J81" s="46">
        <f>(SUM($AA$18:$AA$29)-SUM($AA$36,$AA$42,$AA$48,$AA$54,$AA$60,$AA$66,$AA$72:$AA$79))*Parameters!$B$37/12</f>
        <v>49486.05830573041</v>
      </c>
      <c r="K81" s="46">
        <f>(SUM($AA$18:$AA$29)-SUM($AA$36,$AA$42,$AA$48,$AA$54,$AA$60,$AA$66,$AA$72:$AA$79))*Parameters!$B$37/12</f>
        <v>49486.05830573041</v>
      </c>
      <c r="L81" s="46">
        <f>(SUM($AA$18:$AA$29)-SUM($AA$36,$AA$42,$AA$48,$AA$54,$AA$60,$AA$66,$AA$72:$AA$79))*Parameters!$B$37/12</f>
        <v>49486.05830573041</v>
      </c>
      <c r="M81" s="46">
        <f>(SUM($AA$18:$AA$29)-SUM($AA$36,$AA$42,$AA$48,$AA$54,$AA$60,$AA$66,$AA$72:$AA$79))*Parameters!$B$37/12</f>
        <v>49486.05830573041</v>
      </c>
      <c r="N81" s="46">
        <f>(SUM($AA$18:$AA$29)-SUM($AA$36,$AA$42,$AA$48,$AA$54,$AA$60,$AA$66,$AA$72:$AA$79))*Parameters!$B$37/12</f>
        <v>49486.05830573041</v>
      </c>
      <c r="O81" s="46">
        <f>(SUM($AA$18:$AA$29)-SUM($AA$36,$AA$42,$AA$48,$AA$54,$AA$60,$AA$66,$AA$72:$AA$79))*Parameters!$B$37/12</f>
        <v>49486.05830573041</v>
      </c>
      <c r="P81" s="46">
        <f>(SUM($AA$18:$AA$29)-SUM($AA$36,$AA$42,$AA$48,$AA$54,$AA$60,$AA$66,$AA$72:$AA$79))*Parameters!$B$37/12</f>
        <v>49486.05830573041</v>
      </c>
      <c r="Q81" s="46">
        <f>(SUM($AA$18:$AA$29)-SUM($AA$36,$AA$42,$AA$48,$AA$54,$AA$60,$AA$66,$AA$72:$AA$79))*Parameters!$B$37/12</f>
        <v>49486.05830573041</v>
      </c>
      <c r="R81" s="46">
        <f>(SUM($AA$18:$AA$29)-SUM($AA$36,$AA$42,$AA$48,$AA$54,$AA$60,$AA$66,$AA$72:$AA$79))*Parameters!$B$37/12</f>
        <v>49486.05830573041</v>
      </c>
      <c r="S81" s="46">
        <f>(SUM($AA$18:$AA$29)-SUM($AA$36,$AA$42,$AA$48,$AA$54,$AA$60,$AA$66,$AA$72:$AA$79))*Parameters!$B$37/12</f>
        <v>49486.05830573041</v>
      </c>
      <c r="T81" s="46">
        <f>(SUM($AA$18:$AA$29)-SUM($AA$36,$AA$42,$AA$48,$AA$54,$AA$60,$AA$66,$AA$72:$AA$79))*Parameters!$B$37/12</f>
        <v>49486.05830573041</v>
      </c>
      <c r="U81" s="46">
        <f>(SUM($AA$18:$AA$29)-SUM($AA$36,$AA$42,$AA$48,$AA$54,$AA$60,$AA$66,$AA$72:$AA$79))*Parameters!$B$37/12</f>
        <v>49486.05830573041</v>
      </c>
      <c r="V81" s="46">
        <f>(SUM($AA$18:$AA$29)-SUM($AA$36,$AA$42,$AA$48,$AA$54,$AA$60,$AA$66,$AA$72:$AA$79))*Parameters!$B$37/12</f>
        <v>49486.05830573041</v>
      </c>
      <c r="W81" s="46">
        <f>(SUM($AA$18:$AA$29)-SUM($AA$36,$AA$42,$AA$48,$AA$54,$AA$60,$AA$66,$AA$72:$AA$79))*Parameters!$B$37/12</f>
        <v>49486.05830573041</v>
      </c>
      <c r="X81" s="46">
        <f>(SUM($AA$18:$AA$29)-SUM($AA$36,$AA$42,$AA$48,$AA$54,$AA$60,$AA$66,$AA$72:$AA$79))*Parameters!$B$37/12</f>
        <v>49486.05830573041</v>
      </c>
      <c r="Y81" s="46">
        <f>(SUM($AA$18:$AA$29)-SUM($AA$36,$AA$42,$AA$48,$AA$54,$AA$60,$AA$66,$AA$72:$AA$79))*Parameters!$B$37/12</f>
        <v>49486.05830573041</v>
      </c>
      <c r="Z81" s="46">
        <f>SUMIF($B$13:$Y$13,"Yes",B81:Y81)</f>
        <v>643318.7579744954</v>
      </c>
      <c r="AA81" s="46">
        <f>SUM(B81:M81)</f>
        <v>593832.699668765</v>
      </c>
      <c r="AB81" s="46">
        <f>SUM(B81:Y81)</f>
        <v>1187665.39933753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135414.8083057304</v>
      </c>
      <c r="C88" s="19">
        <f>SUM(C72:C82,C66,C60,C54,C48,C42,C36)</f>
        <v>139514.8083057304</v>
      </c>
      <c r="D88" s="19">
        <f>SUM(D72:D82,D66,D60,D54,D48,D42,D36)</f>
        <v>126817.8853814037</v>
      </c>
      <c r="E88" s="19">
        <f>SUM(E72:E82,E66,E60,E54,E48,E42,E36)</f>
        <v>246316.0583057304</v>
      </c>
      <c r="F88" s="19">
        <f>SUM(F72:F82,F66,F60,F54,F48,F42,F36)</f>
        <v>638661.0583057305</v>
      </c>
      <c r="G88" s="19">
        <f>SUM(G72:G82,G66,G60,G54,G48,G42,G36)</f>
        <v>160626.8083057304</v>
      </c>
      <c r="H88" s="19">
        <f>SUM(H72:H82,H66,H60,H54,H48,H42,H36)</f>
        <v>135414.8083057304</v>
      </c>
      <c r="I88" s="19">
        <f>SUM(I72:I82,I66,I60,I54,I48,I42,I36)</f>
        <v>139514.8083057304</v>
      </c>
      <c r="J88" s="19">
        <f>SUM(J72:J82,J66,J60,J54,J48,J42,J36)</f>
        <v>126817.8853814037</v>
      </c>
      <c r="K88" s="19">
        <f>SUM(K72:K82,K66,K60,K54,K48,K42,K36)</f>
        <v>246316.0583057304</v>
      </c>
      <c r="L88" s="19">
        <f>SUM(L72:L82,L66,L60,L54,L48,L42,L36)</f>
        <v>138661.0583057304</v>
      </c>
      <c r="M88" s="19">
        <f>SUM(M72:M82,M66,M60,M54,M48,M42,M36)</f>
        <v>160626.8083057304</v>
      </c>
      <c r="N88" s="19">
        <f>SUM(N72:N82,N66,N60,N54,N48,N42,N36)</f>
        <v>135414.8083057304</v>
      </c>
      <c r="O88" s="19">
        <f>SUM(O72:O82,O66,O60,O54,O48,O42,O36)</f>
        <v>139514.8083057304</v>
      </c>
      <c r="P88" s="19">
        <f>SUM(P72:P82,P66,P60,P54,P48,P42,P36)</f>
        <v>126817.8853814037</v>
      </c>
      <c r="Q88" s="19">
        <f>SUM(Q72:Q82,Q66,Q60,Q54,Q48,Q42,Q36)</f>
        <v>246316.0583057304</v>
      </c>
      <c r="R88" s="19">
        <f>SUM(R72:R82,R66,R60,R54,R48,R42,R36)</f>
        <v>138661.0583057304</v>
      </c>
      <c r="S88" s="19">
        <f>SUM(S72:S82,S66,S60,S54,S48,S42,S36)</f>
        <v>160626.8083057304</v>
      </c>
      <c r="T88" s="19">
        <f>SUM(T72:T82,T66,T60,T54,T48,T42,T36)</f>
        <v>135414.8083057304</v>
      </c>
      <c r="U88" s="19">
        <f>SUM(U72:U82,U66,U60,U54,U48,U42,U36)</f>
        <v>139514.8083057304</v>
      </c>
      <c r="V88" s="19">
        <f>SUM(V72:V82,V66,V60,V54,V48,V42,V36)</f>
        <v>126817.8853814037</v>
      </c>
      <c r="W88" s="19">
        <f>SUM(W72:W82,W66,W60,W54,W48,W42,W36)</f>
        <v>246316.0583057304</v>
      </c>
      <c r="X88" s="19">
        <f>SUM(X72:X82,X66,X60,X54,X48,X42,X36)</f>
        <v>138661.0583057304</v>
      </c>
      <c r="Y88" s="19">
        <f>SUM(Y72:Y82,Y66,Y60,Y54,Y48,Y42,Y36)</f>
        <v>160626.8083057304</v>
      </c>
      <c r="Z88" s="19">
        <f>SUMIF($B$13:$Y$13,"Yes",B88:Y88)</f>
        <v>2530117.662125842</v>
      </c>
      <c r="AA88" s="19">
        <f>SUM(B88:M88)</f>
        <v>2394702.853820111</v>
      </c>
      <c r="AB88" s="19">
        <f>SUM(B88:Y88)</f>
        <v>4289405.707640224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132000000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133325000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19000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119000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</v>
      </c>
      <c r="N8" s="154">
        <v>1</v>
      </c>
    </row>
    <row r="9" spans="1:48">
      <c r="A9" s="143" t="s">
        <v>98</v>
      </c>
      <c r="B9" s="16"/>
      <c r="C9" s="143">
        <v>2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99</v>
      </c>
      <c r="K9" s="138"/>
      <c r="L9" s="16"/>
      <c r="M9" s="165">
        <v>5</v>
      </c>
      <c r="N9" s="154">
        <v>0</v>
      </c>
    </row>
    <row r="10" spans="1:48">
      <c r="A10" s="143" t="s">
        <v>100</v>
      </c>
      <c r="B10" s="16"/>
      <c r="C10" s="143">
        <v>0</v>
      </c>
      <c r="D10" s="16">
        <v>0</v>
      </c>
      <c r="E10" s="147" t="s">
        <v>101</v>
      </c>
      <c r="F10" s="149" t="s">
        <v>91</v>
      </c>
      <c r="G10" s="147"/>
      <c r="H10" s="147" t="s">
        <v>92</v>
      </c>
      <c r="I10" s="147" t="s">
        <v>93</v>
      </c>
      <c r="J10" s="148" t="s">
        <v>102</v>
      </c>
      <c r="K10" s="138" t="s">
        <v>103</v>
      </c>
      <c r="L10" s="16">
        <v>0</v>
      </c>
      <c r="M10" s="165">
        <v>100</v>
      </c>
      <c r="N10" s="154">
        <v>0</v>
      </c>
    </row>
    <row r="11" spans="1:48">
      <c r="A11" s="144" t="s">
        <v>100</v>
      </c>
      <c r="B11" s="23"/>
      <c r="C11" s="144">
        <v>0</v>
      </c>
      <c r="D11" s="23"/>
      <c r="E11" s="150" t="s">
        <v>101</v>
      </c>
      <c r="F11" s="151" t="s">
        <v>91</v>
      </c>
      <c r="G11" s="150"/>
      <c r="H11" s="150" t="s">
        <v>92</v>
      </c>
      <c r="I11" s="150" t="s">
        <v>93</v>
      </c>
      <c r="J11" s="152" t="s">
        <v>102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104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105</v>
      </c>
      <c r="B18" s="10" t="s">
        <v>106</v>
      </c>
      <c r="C18" s="10" t="s">
        <v>107</v>
      </c>
      <c r="D18" s="10" t="s">
        <v>108</v>
      </c>
      <c r="E18" s="10" t="s">
        <v>109</v>
      </c>
      <c r="F18" s="10" t="s">
        <v>110</v>
      </c>
      <c r="G18" s="10" t="s">
        <v>111</v>
      </c>
      <c r="H18" s="10" t="s">
        <v>112</v>
      </c>
      <c r="I18" s="10" t="s">
        <v>113</v>
      </c>
      <c r="J18" s="10" t="s">
        <v>114</v>
      </c>
      <c r="K18" s="10" t="s">
        <v>115</v>
      </c>
      <c r="L18" s="10" t="s">
        <v>116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117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118</v>
      </c>
      <c r="B25" s="177">
        <v>5</v>
      </c>
    </row>
    <row r="27" spans="1:48">
      <c r="A27" s="14" t="s">
        <v>119</v>
      </c>
    </row>
    <row r="29" spans="1:48">
      <c r="A29" s="45" t="s">
        <v>120</v>
      </c>
      <c r="B29" s="156" t="s">
        <v>121</v>
      </c>
    </row>
    <row r="30" spans="1:48">
      <c r="A30" s="44" t="s">
        <v>122</v>
      </c>
      <c r="B30" s="157">
        <v>145000</v>
      </c>
    </row>
    <row r="31" spans="1:48">
      <c r="A31" s="5" t="s">
        <v>123</v>
      </c>
      <c r="B31" s="158">
        <v>56000</v>
      </c>
    </row>
    <row r="33" spans="1:48">
      <c r="A33" s="14" t="s">
        <v>124</v>
      </c>
    </row>
    <row r="34" spans="1:48">
      <c r="A34" s="10" t="s">
        <v>125</v>
      </c>
      <c r="B34" s="10" t="s">
        <v>126</v>
      </c>
      <c r="C34" s="10" t="s">
        <v>127</v>
      </c>
      <c r="D34" s="48" t="s">
        <v>128</v>
      </c>
    </row>
    <row r="35" spans="1:48">
      <c r="A35" s="142" t="s">
        <v>129</v>
      </c>
      <c r="B35" s="159">
        <v>500000</v>
      </c>
      <c r="C35" s="145" t="s">
        <v>97</v>
      </c>
      <c r="D35" s="49">
        <f>IFERROR(VLOOKUP(C35,Parameters!$C$79:$D$90,2,0),"")</f>
        <v>12</v>
      </c>
    </row>
    <row r="36" spans="1:48">
      <c r="A36" s="144"/>
      <c r="B36" s="158">
        <v>0</v>
      </c>
      <c r="C36" s="150" t="s">
        <v>97</v>
      </c>
      <c r="D36" s="49">
        <f>IFERROR(VLOOKUP(C36,Parameters!$C$79:$D$90,2,0),"")</f>
        <v>12</v>
      </c>
    </row>
    <row r="38" spans="1:48">
      <c r="A38" s="3" t="s">
        <v>130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131</v>
      </c>
      <c r="B40" s="160" t="s">
        <v>92</v>
      </c>
    </row>
    <row r="41" spans="1:48">
      <c r="A41" s="55" t="s">
        <v>132</v>
      </c>
      <c r="B41" s="140"/>
    </row>
    <row r="42" spans="1:48">
      <c r="A42" s="55" t="s">
        <v>133</v>
      </c>
      <c r="B42" s="139"/>
    </row>
    <row r="43" spans="1:48">
      <c r="A43" s="55" t="s">
        <v>134</v>
      </c>
      <c r="B43" s="160" t="s">
        <v>135</v>
      </c>
    </row>
    <row r="44" spans="1:48">
      <c r="A44" s="56" t="s">
        <v>136</v>
      </c>
      <c r="B44" s="160" t="s">
        <v>92</v>
      </c>
    </row>
    <row r="45" spans="1:48">
      <c r="A45" s="56" t="s">
        <v>137</v>
      </c>
      <c r="B45" s="161">
        <v>1200000</v>
      </c>
    </row>
    <row r="46" spans="1:48" customHeight="1" ht="30">
      <c r="A46" s="57" t="s">
        <v>138</v>
      </c>
      <c r="B46" s="161">
        <v>50000</v>
      </c>
    </row>
    <row r="47" spans="1:48" customHeight="1" ht="30">
      <c r="A47" s="57" t="s">
        <v>139</v>
      </c>
      <c r="B47" s="161">
        <v>50000</v>
      </c>
    </row>
    <row r="48" spans="1:48" customHeight="1" ht="30">
      <c r="A48" s="57" t="s">
        <v>140</v>
      </c>
      <c r="B48" s="161">
        <v>0</v>
      </c>
    </row>
    <row r="49" spans="1:48" customHeight="1" ht="30">
      <c r="A49" s="57" t="s">
        <v>141</v>
      </c>
      <c r="B49" s="161">
        <v>25000</v>
      </c>
    </row>
    <row r="50" spans="1:48">
      <c r="A50" s="43"/>
      <c r="B50" s="36"/>
    </row>
    <row r="51" spans="1:48">
      <c r="A51" s="58" t="s">
        <v>142</v>
      </c>
      <c r="B51" s="161">
        <v>19000</v>
      </c>
    </row>
    <row r="52" spans="1:48">
      <c r="A52" s="43"/>
    </row>
    <row r="53" spans="1:48">
      <c r="A53" s="3" t="s">
        <v>143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144</v>
      </c>
      <c r="B55" s="10" t="s">
        <v>145</v>
      </c>
      <c r="C55" s="10" t="s">
        <v>146</v>
      </c>
      <c r="D55" s="10" t="s">
        <v>147</v>
      </c>
      <c r="E55" s="10" t="s">
        <v>148</v>
      </c>
      <c r="F55" s="10" t="s">
        <v>149</v>
      </c>
    </row>
    <row r="56" spans="1:48">
      <c r="A56" s="159">
        <v>450000</v>
      </c>
      <c r="B56" s="159">
        <v>0</v>
      </c>
      <c r="C56" s="162" t="s">
        <v>150</v>
      </c>
      <c r="D56" s="163"/>
      <c r="E56" s="163" t="s">
        <v>92</v>
      </c>
      <c r="F56" s="163" t="s">
        <v>151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128</v>
      </c>
      <c r="B65" s="10" t="s">
        <v>153</v>
      </c>
      <c r="C65" s="10" t="s">
        <v>154</v>
      </c>
    </row>
    <row r="66" spans="1:48">
      <c r="A66" s="142" t="s">
        <v>155</v>
      </c>
      <c r="B66" s="159">
        <v>119475</v>
      </c>
      <c r="C66" s="163">
        <v>109458</v>
      </c>
      <c r="D66" s="49">
        <f>INDEX(Parameters!$D$79:$D$90,MATCH(Inputs!A66,Parameters!$C$79:$C$90,0))</f>
        <v>2</v>
      </c>
    </row>
    <row r="67" spans="1:48">
      <c r="A67" s="143" t="s">
        <v>156</v>
      </c>
      <c r="B67" s="157">
        <v>130500</v>
      </c>
      <c r="C67" s="165">
        <v>128500</v>
      </c>
      <c r="D67" s="49">
        <f>INDEX(Parameters!$D$79:$D$90,MATCH(Inputs!A67,Parameters!$C$79:$C$90,0))</f>
        <v>3</v>
      </c>
    </row>
    <row r="68" spans="1:48">
      <c r="A68" s="143" t="s">
        <v>157</v>
      </c>
      <c r="B68" s="157">
        <v>217000</v>
      </c>
      <c r="C68" s="165">
        <v>202500</v>
      </c>
      <c r="D68" s="49">
        <f>INDEX(Parameters!$D$79:$D$90,MATCH(Inputs!A68,Parameters!$C$79:$C$90,0))</f>
        <v>4</v>
      </c>
    </row>
    <row r="69" spans="1:48">
      <c r="A69" s="143" t="s">
        <v>158</v>
      </c>
      <c r="B69" s="157">
        <v>160000</v>
      </c>
      <c r="C69" s="165">
        <v>154000</v>
      </c>
      <c r="D69" s="49">
        <f>INDEX(Parameters!$D$79:$D$90,MATCH(Inputs!A69,Parameters!$C$79:$C$90,0))</f>
        <v>5</v>
      </c>
    </row>
    <row r="70" spans="1:48">
      <c r="A70" s="143" t="s">
        <v>159</v>
      </c>
      <c r="B70" s="157">
        <v>122275</v>
      </c>
      <c r="C70" s="165">
        <v>105852</v>
      </c>
      <c r="D70" s="49">
        <f>INDEX(Parameters!$D$79:$D$90,MATCH(Inputs!A70,Parameters!$C$79:$C$90,0))</f>
        <v>6</v>
      </c>
    </row>
    <row r="71" spans="1:48">
      <c r="A71" s="144" t="s">
        <v>99</v>
      </c>
      <c r="B71" s="158">
        <v>140000</v>
      </c>
      <c r="C71" s="167">
        <v>125458</v>
      </c>
      <c r="D71" s="49">
        <f>INDEX(Parameters!$D$79:$D$90,MATCH(Inputs!A71,Parameters!$C$79:$C$90,0))</f>
        <v>7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6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100000</v>
      </c>
    </row>
    <row r="82" spans="1:48">
      <c r="A82" t="s">
        <v>169</v>
      </c>
      <c r="B82" s="161">
        <v>20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43101</v>
      </c>
      <c r="D4" s="38">
        <f>IFERROR(DATE(YEAR(B4),MONTH(B4)+T4,DAY(B4)),"")</f>
        <v>43160</v>
      </c>
      <c r="E4" s="38">
        <f>IFERROR(IF($S4=0,"",IF($S4=2,DATE(YEAR(B4),MONTH(B4)+6,DAY(B4)),IF($S4=1,B4,""))),"")</f>
        <v>43221</v>
      </c>
      <c r="F4" s="38">
        <f>IFERROR(IF($S4=0,"",IF($S4=2,DATE(YEAR(C4),MONTH(C4)+6,DAY(C4)),IF($S4=1,C4,""))),"")</f>
        <v>43282</v>
      </c>
      <c r="G4" s="38">
        <f>IFERROR(IF($S4=0,"",IF($S4=2,DATE(YEAR(D4),MONTH(D4)+6,DAY(D4)),IF($S4=1,D4,""))),"")</f>
        <v>43344</v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24413.20539167842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519513.0107349168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120000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21500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57000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43070</v>
      </c>
      <c r="C5" s="39">
        <f>IFERROR(DATE(YEAR(B5),MONTH(B5)+ROUND(T5/2,0),DAY(B5)),B5)</f>
        <v>43132</v>
      </c>
      <c r="D5" s="39">
        <f>IFERROR(DATE(YEAR(B5),MONTH(B5)+T5,DAY(B5)),"")</f>
        <v>43191</v>
      </c>
      <c r="E5" s="39">
        <f>IFERROR(IF($S5=0,"",IF($S5=2,DATE(YEAR(B5),MONTH(B5)+6,DAY(B5)),IF($S5=1,B5,""))),"")</f>
        <v>43252</v>
      </c>
      <c r="F5" s="39">
        <f>IFERROR(IF($S5=0,"",IF($S5=2,DATE(YEAR(C5),MONTH(C5)+6,DAY(C5)),IF($S5=1,C5,""))),"")</f>
        <v>43313</v>
      </c>
      <c r="G5" s="39">
        <f>IFERROR(IF($S5=0,"",IF($S5=2,DATE(YEAR(D5),MONTH(D5)+6,DAY(D5)),IF($S5=1,D5,""))),"")</f>
        <v>43374</v>
      </c>
      <c r="H5" s="16">
        <f>Inputs!C8</f>
        <v>5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649.2307957692631</v>
      </c>
      <c r="M5" s="30">
        <f>L5*H5</f>
        <v>3246.153978846315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129521.543755968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1515</v>
      </c>
      <c r="W5" s="34">
        <f>IFERROR(J5*H5*Parameters!$B$35+IF(OR(Inputs!F8=Parameters!$E$78,Inputs!F8=Parameters!$E$80),Calculations!H5*Parameters!$B$36,0),0)</f>
        <v>10000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3733.077075673262</v>
      </c>
      <c r="AB5" s="34">
        <f>H5*IFERROR(INDEX(Parameters!$A$3:$AI$17,MATCH(Calculations!A5,Parameters!$A$3:$A$17,0),MATCH(Parameters!$O$3,Parameters!$A$3:$AI$3,0)),AVERAGE(Parameters!$O$4:$O$17))*(1-Inputs!$B$25/100)</f>
        <v>57000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Cabbages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43282</v>
      </c>
      <c r="C6" s="39">
        <f>IFERROR(DATE(YEAR(B6),MONTH(B6)+ROUND(T6/2,0),DAY(B6)),B6)</f>
        <v>43344</v>
      </c>
      <c r="D6" s="39">
        <f>IFERROR(DATE(YEAR(B6),MONTH(B6)+T6,DAY(B6)),"")</f>
        <v>43374</v>
      </c>
      <c r="E6" s="39">
        <f>IFERROR(IF($S6=0,"",IF($S6=2,DATE(YEAR(B6),MONTH(B6)+6,DAY(B6)),IF($S6=1,B6,""))),"")</f>
        <v>43466</v>
      </c>
      <c r="F6" s="39">
        <f>IFERROR(IF($S6=0,"",IF($S6=2,DATE(YEAR(C6),MONTH(C6)+6,DAY(C6)),IF($S6=1,C6,""))),"")</f>
        <v>43525</v>
      </c>
      <c r="G6" s="39">
        <f>IFERROR(IF($S6=0,"",IF($S6=2,DATE(YEAR(D6),MONTH(D6)+6,DAY(D6)),IF($S6=1,D6,""))),"")</f>
        <v>43556</v>
      </c>
      <c r="H6" s="16">
        <f>Inputs!C9</f>
        <v>2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7207.992377007091</v>
      </c>
      <c r="M6" s="30">
        <f>L6*H6</f>
        <v>14415.98475401418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383465.1944567772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1212</v>
      </c>
      <c r="W6" s="34">
        <f>IFERROR(J6*H6*Parameters!$B$35+IF(OR(Inputs!F9=Parameters!$E$78,Inputs!F9=Parameters!$E$80),Calculations!H6*Parameters!$B$36,0),0)</f>
        <v>4000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5600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28500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105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144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>450000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43006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42979</v>
      </c>
      <c r="F33" t="s">
        <v>165</v>
      </c>
      <c r="G33" s="128">
        <f>IF(Inputs!B79="","",DATE(YEAR(Inputs!B79),MONTH(Inputs!B79),DAY(Inputs!B79)))</f>
        <v>42975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43036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43009</v>
      </c>
      <c r="F34" t="s">
        <v>166</v>
      </c>
      <c r="G34" s="128">
        <f>IF(Inputs!B80="","",DATE(YEAR(Inputs!B80),MONTH(Inputs!B80),DAY(Inputs!B80)))</f>
        <v>43006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43067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43040</v>
      </c>
      <c r="F35" t="s">
        <v>168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43097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43070</v>
      </c>
      <c r="F36" t="s">
        <v>169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43128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43101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43159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43132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43187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43160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43218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43191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43248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43221</v>
      </c>
      <c r="F41" t="s">
        <v>232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43279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43252</v>
      </c>
      <c r="F42" t="s">
        <v>233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43309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43282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43340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43313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266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98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105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206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295</v>
      </c>
      <c r="B23" s="21" t="s">
        <v>296</v>
      </c>
      <c r="C23" s="72" t="s">
        <v>297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298</v>
      </c>
      <c r="B24" s="21" t="s">
        <v>299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300</v>
      </c>
      <c r="B25" s="16" t="s">
        <v>301</v>
      </c>
      <c r="C25" s="30" t="s">
        <v>302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303</v>
      </c>
      <c r="B26" s="16" t="s">
        <v>299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304</v>
      </c>
      <c r="B27" s="71" t="s">
        <v>299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305</v>
      </c>
      <c r="B28" s="71" t="s">
        <v>299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306</v>
      </c>
      <c r="B29" s="118" t="s">
        <v>299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307</v>
      </c>
      <c r="B30" s="70" t="s">
        <v>299</v>
      </c>
    </row>
    <row r="31" spans="1:36">
      <c r="H31" s="86"/>
      <c r="I31" s="86"/>
      <c r="AI31" s="12"/>
    </row>
    <row r="32" spans="1:36">
      <c r="A32" s="3" t="s">
        <v>308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309</v>
      </c>
      <c r="B34" s="11" t="s">
        <v>310</v>
      </c>
    </row>
    <row r="35" spans="1:36">
      <c r="A35" t="s">
        <v>311</v>
      </c>
      <c r="B35" s="72">
        <v>60</v>
      </c>
      <c r="C35" s="86"/>
    </row>
    <row r="36" spans="1:36">
      <c r="A36" t="s">
        <v>312</v>
      </c>
      <c r="B36" s="72">
        <v>2000</v>
      </c>
      <c r="C36" s="86"/>
    </row>
    <row r="37" spans="1:36">
      <c r="A37" t="s">
        <v>313</v>
      </c>
      <c r="B37" s="2">
        <v>0.4</v>
      </c>
    </row>
    <row r="39" spans="1:36">
      <c r="A39" s="3" t="s">
        <v>314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315</v>
      </c>
      <c r="C40" s="193"/>
    </row>
    <row r="41" spans="1:36">
      <c r="A41" s="5" t="s">
        <v>105</v>
      </c>
      <c r="B41" s="191" t="s">
        <v>316</v>
      </c>
      <c r="C41" s="191" t="s">
        <v>92</v>
      </c>
    </row>
    <row r="42" spans="1:36">
      <c r="A42" t="s">
        <v>295</v>
      </c>
      <c r="B42" s="72">
        <v>450</v>
      </c>
      <c r="C42" s="72">
        <v>450</v>
      </c>
    </row>
    <row r="43" spans="1:36">
      <c r="A43" t="s">
        <v>298</v>
      </c>
      <c r="B43" s="72">
        <v>450</v>
      </c>
      <c r="C43" s="72">
        <v>250</v>
      </c>
    </row>
    <row r="44" spans="1:36">
      <c r="A44" t="s">
        <v>300</v>
      </c>
      <c r="B44" s="72">
        <v>50000</v>
      </c>
      <c r="C44" s="72">
        <v>200000</v>
      </c>
    </row>
    <row r="45" spans="1:36">
      <c r="A45" t="s">
        <v>303</v>
      </c>
      <c r="B45" s="72">
        <v>25000</v>
      </c>
      <c r="C45" s="72">
        <v>50000</v>
      </c>
    </row>
    <row r="46" spans="1:36">
      <c r="A46" t="s">
        <v>304</v>
      </c>
      <c r="B46" s="72">
        <v>6000</v>
      </c>
      <c r="C46" s="72">
        <v>12000</v>
      </c>
    </row>
    <row r="47" spans="1:36">
      <c r="A47" t="s">
        <v>305</v>
      </c>
      <c r="B47" s="72">
        <v>4500</v>
      </c>
      <c r="C47" s="72">
        <v>12000</v>
      </c>
    </row>
    <row r="48" spans="1:36">
      <c r="A48" t="s">
        <v>306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318</v>
      </c>
      <c r="H52" s="12" t="s">
        <v>319</v>
      </c>
      <c r="I52" s="12" t="s">
        <v>135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234</v>
      </c>
      <c r="E53" s="10" t="s">
        <v>193</v>
      </c>
      <c r="F53" s="10" t="s">
        <v>253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316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316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316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316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316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316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316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171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230</v>
      </c>
      <c r="J76" s="11" t="s">
        <v>352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316</v>
      </c>
      <c r="F77" s="12" t="s">
        <v>316</v>
      </c>
      <c r="G77" s="12" t="s">
        <v>354</v>
      </c>
      <c r="H77" s="12" t="s">
        <v>319</v>
      </c>
      <c r="I77" s="12" t="s">
        <v>355</v>
      </c>
      <c r="J77" s="136" t="s">
        <v>356</v>
      </c>
      <c r="K77" s="12" t="s">
        <v>316</v>
      </c>
      <c r="AJ77" s="12"/>
    </row>
    <row r="78" spans="1:36">
      <c r="A78" t="s">
        <v>316</v>
      </c>
      <c r="B78" s="176">
        <v>5</v>
      </c>
      <c r="C78" s="134" t="s">
        <v>103</v>
      </c>
      <c r="D78" s="133"/>
      <c r="E78" s="12" t="s">
        <v>357</v>
      </c>
      <c r="F78" s="12" t="s">
        <v>358</v>
      </c>
      <c r="G78" s="12" t="s">
        <v>359</v>
      </c>
      <c r="H78" s="12" t="s">
        <v>135</v>
      </c>
      <c r="I78" s="12" t="s">
        <v>360</v>
      </c>
      <c r="J78" s="70" t="s">
        <v>96</v>
      </c>
      <c r="K78" s="12" t="s">
        <v>316</v>
      </c>
      <c r="AJ78" s="12"/>
    </row>
    <row r="79" spans="1:36">
      <c r="B79" s="176">
        <v>10</v>
      </c>
      <c r="C79" s="12" t="s">
        <v>361</v>
      </c>
      <c r="D79" s="12">
        <v>1</v>
      </c>
      <c r="E79" s="12" t="s">
        <v>362</v>
      </c>
      <c r="F79" s="12" t="s">
        <v>363</v>
      </c>
      <c r="G79" s="12" t="s">
        <v>364</v>
      </c>
      <c r="I79" s="12" t="s">
        <v>171</v>
      </c>
      <c r="J79" s="70" t="s">
        <v>90</v>
      </c>
      <c r="K79" s="12" t="s">
        <v>316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93</v>
      </c>
      <c r="J80" s="70" t="s">
        <v>365</v>
      </c>
      <c r="K80" s="12" t="s">
        <v>92</v>
      </c>
      <c r="AJ80" s="12"/>
    </row>
    <row r="81" spans="1:36">
      <c r="B81" s="176">
        <v>30</v>
      </c>
      <c r="C81" s="12" t="s">
        <v>156</v>
      </c>
      <c r="D81" s="12">
        <f>D80+1</f>
        <v>3</v>
      </c>
      <c r="J81" s="70" t="s">
        <v>101</v>
      </c>
      <c r="K81" s="12" t="s">
        <v>92</v>
      </c>
    </row>
    <row r="82" spans="1:36">
      <c r="B82" s="176">
        <v>40</v>
      </c>
      <c r="C82" s="12" t="s">
        <v>157</v>
      </c>
      <c r="D82" s="12">
        <f>D81+1</f>
        <v>4</v>
      </c>
      <c r="J82" s="70"/>
    </row>
    <row r="83" spans="1:36">
      <c r="B83" s="176">
        <v>50</v>
      </c>
      <c r="C83" s="12" t="s">
        <v>158</v>
      </c>
      <c r="D83" s="12">
        <f>D82+1</f>
        <v>5</v>
      </c>
    </row>
    <row r="84" spans="1:36">
      <c r="B84" s="176">
        <v>60</v>
      </c>
      <c r="C84" s="12" t="s">
        <v>159</v>
      </c>
      <c r="D84" s="12">
        <f>D83+1</f>
        <v>6</v>
      </c>
    </row>
    <row r="85" spans="1:36">
      <c r="B85" s="176">
        <v>70</v>
      </c>
      <c r="C85" s="12" t="s">
        <v>99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368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97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