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<sst xmlns="http://schemas.openxmlformats.org/spreadsheetml/2006/main" uniqueCount="377">
  <si>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</si>
  <si>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</si>
  <si>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</si>
  <si>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</si>
  <si>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</si>
  <si>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</si>
  <si>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</si>
  <si>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</si>
  <si>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</si>
  <si>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</si>
  <si>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</si>
  <si>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</si>
  <si>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</si>
  <si>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</si>
  <si>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</si>
  <si>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</si>
  <si>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</si>
  <si>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</si>
  <si>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</si>
  <si>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</si>
  <si>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</si>
  <si>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</si>
  <si>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</si>
  <si>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</si>
  <si>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</si>
  <si>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</si>
  <si>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</si>
  <si>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</si>
  <si>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</si>
  <si>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</si>
  <si>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</si>
  <si>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</si>
  <si>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</si>
  <si>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</si>
  <si>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</si>
  <si>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</si>
  <si>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</si>
  <si>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</si>
  <si>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</si>
  <si>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</si>
  <si>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</si>
  <si>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</si>
  <si>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</si>
  <si>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</si>
  <si>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</si>
  <si>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</si>
  <si>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</si>
  <si>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</si>
  <si>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</si>
  <si>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</si>
  <si>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</si>
  <si>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</si>
  <si>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</si>
  <si>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</si>
  <si>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</si>
  <si>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</si>
  <si>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</si>
  <si>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</si>
  <si>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</si>
  <si>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</si>
  <si>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</si>
  <si>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</si>
  <si>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</si>
  <si>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</si>
  <si>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</si>
  <si>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</si>
  <si>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</si>
  <si>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</si>
  <si>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</si>
  <si>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</si>
  <si>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</si>
  <si>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</si>
  <si>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</si>
  <si>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</si>
  <si>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</si>
  <si>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</si>
  <si>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</si>
  <si>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</si>
  <si>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</si>
  <si>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</si>
  <si>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</si>
  <si>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</si>
  <si>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</si>
  <si>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</si>
  <si>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</si>
  <si>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</si>
  <si>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</si>
  <si>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</si>
  <si>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</si>
  <si>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</si>
  <si>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</si>
  <si>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</si>
  <si>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</si>
  <si>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</si>
  <si>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December</t>
  </si>
  <si>
    <t>Beans</t>
  </si>
  <si>
    <t>Home recycled</t>
  </si>
  <si>
    <t>Yes only manure</t>
  </si>
  <si>
    <t>August</t>
  </si>
  <si>
    <t>Other crops</t>
  </si>
  <si>
    <t>Yes without the use of a pump</t>
  </si>
  <si>
    <t>Sukuma week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</si>
  <si>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</si>
  <si>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</si>
  <si>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</si>
  <si>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</si>
  <si>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</si>
  <si>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</si>
  <si>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</si>
  <si>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</si>
  <si>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</si>
  <si>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</si>
  <si>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</si>
  <si>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</si>
  <si>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</si>
  <si>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</si>
  <si>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</si>
  <si>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</si>
  <si>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</si>
  <si>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</si>
  <si>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</si>
  <si>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</si>
  <si>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</si>
  <si>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</si>
  <si>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</si>
  <si>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</si>
  <si>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</si>
  <si>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</si>
  <si>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</si>
  <si>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</si>
  <si>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</si>
  <si>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</si>
  <si>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</si>
  <si>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</si>
  <si>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</si>
  <si>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</si>
  <si>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</si>
  <si>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</si>
  <si>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</si>
  <si>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</si>
  <si>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</si>
  <si>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</si>
  <si>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</si>
  <si>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</si>
  <si>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</si>
  <si>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</si>
  <si>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</si>
  <si>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</si>
  <si>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</si>
  <si>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</si>
  <si>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</si>
  <si>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</si>
  <si>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4/8/2017</t>
  </si>
  <si>
    <t>Premier Kenya Limited</t>
  </si>
  <si>
    <t>Short term loan payable in 6 months</t>
  </si>
  <si>
    <t>5/20/2017</t>
  </si>
  <si>
    <t>Equity</t>
  </si>
  <si>
    <t>a loan payable in a month</t>
  </si>
  <si>
    <t>11/23/2016</t>
  </si>
  <si>
    <t>full settled</t>
  </si>
  <si>
    <t>4/22/2017</t>
  </si>
  <si>
    <t>Mshwari</t>
  </si>
  <si>
    <t>fully settled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</si>
  <si>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</si>
  <si>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</si>
  <si>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</si>
  <si>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</si>
  <si>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</si>
  <si>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</si>
  <si>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</si>
  <si>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</si>
  <si>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</si>
  <si>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</si>
  <si>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</si>
  <si>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2017/8/30</t>
  </si>
  <si>
    <t>Loan terms</t>
  </si>
  <si>
    <t>Expected disbursement date</t>
  </si>
  <si>
    <t>Expected first repayment date</t>
  </si>
  <si>
    <t>2017/10/9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</si>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</sst>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Sukuma week,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Chicken_layers, Chicken: sale of ex layers</v>
      </c>
    </row>
    <row r="8" spans="1:7">
      <c r="B8" s="1" t="s">
        <v>4</v>
      </c>
      <c r="C8" t="str">
        <f>IF(Inputs!B29="","None",Inputs!B29)</f>
        <v>Taxi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0.4083733135252338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0.005137449100164622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253435.4439835645</v>
      </c>
    </row>
    <row r="18" spans="1:7">
      <c r="B18" s="1" t="s">
        <v>12</v>
      </c>
      <c r="C18" s="36">
        <f>MIN(Output!B6:M6)</f>
        <v>-22082.67538710825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34754.7831867676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45500</v>
      </c>
    </row>
    <row r="25" spans="1:7">
      <c r="B25" s="1" t="s">
        <v>18</v>
      </c>
      <c r="C25" s="36">
        <f>MAX(Inputs!A56:A60)</f>
        <v>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-22082.67538710825</v>
      </c>
      <c r="C6" s="51">
        <f>C30-C88</f>
        <v>13640.40153596867</v>
      </c>
      <c r="D6" s="51">
        <f>D30-D88</f>
        <v>29824.23650729383</v>
      </c>
      <c r="E6" s="51">
        <f>E30-E88</f>
        <v>34754.7831867676</v>
      </c>
      <c r="F6" s="51">
        <f>F30-F88</f>
        <v>22632.11307443021</v>
      </c>
      <c r="G6" s="51">
        <f>G30-G88</f>
        <v>24683.86307443021</v>
      </c>
      <c r="H6" s="51">
        <f>H30-H88</f>
        <v>16643.86307443021</v>
      </c>
      <c r="I6" s="51">
        <f>I30-I88</f>
        <v>21443.86307443021</v>
      </c>
      <c r="J6" s="51">
        <f>J30-J88</f>
        <v>29824.23650729383</v>
      </c>
      <c r="K6" s="51">
        <f>K30-K88</f>
        <v>34754.7831867676</v>
      </c>
      <c r="L6" s="51">
        <f>L30-L88</f>
        <v>22632.11307443021</v>
      </c>
      <c r="M6" s="51">
        <f>M30-M88</f>
        <v>24683.86307443021</v>
      </c>
      <c r="N6" s="51">
        <f>N30-N88</f>
        <v>15893.86307443021</v>
      </c>
      <c r="O6" s="51">
        <f>O30-O88</f>
        <v>21443.86307443021</v>
      </c>
      <c r="P6" s="51">
        <f>P30-P88</f>
        <v>29824.23650729383</v>
      </c>
      <c r="Q6" s="51">
        <f>Q30-Q88</f>
        <v>34754.7831867676</v>
      </c>
      <c r="R6" s="51">
        <f>R30-R88</f>
        <v>22632.11307443021</v>
      </c>
      <c r="S6" s="51">
        <f>S30-S88</f>
        <v>24683.86307443021</v>
      </c>
      <c r="T6" s="51">
        <f>T30-T88</f>
        <v>16643.86307443021</v>
      </c>
      <c r="U6" s="51">
        <f>U30-U88</f>
        <v>21443.86307443021</v>
      </c>
      <c r="V6" s="51">
        <f>V30-V88</f>
        <v>29824.23650729383</v>
      </c>
      <c r="W6" s="51">
        <f>W30-W88</f>
        <v>34754.7831867676</v>
      </c>
      <c r="X6" s="51">
        <f>X30-X88</f>
        <v>22632.11307443021</v>
      </c>
      <c r="Y6" s="51">
        <f>Y30-Y88</f>
        <v>24683.86307443021</v>
      </c>
      <c r="Z6" s="51">
        <f>SUMIF($B$13:$Y$13,"Yes",B6:Y6)</f>
        <v>290773.170132425</v>
      </c>
      <c r="AA6" s="51">
        <f>AA30-AA88</f>
        <v>253435.4439835646</v>
      </c>
      <c r="AB6" s="51">
        <f>AB30-AB88</f>
        <v>552650.8879671295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2610</v>
      </c>
      <c r="G7" s="80">
        <f>IF(ISERROR(VLOOKUP(MONTH(G5),Inputs!$D$66:$D$71,1,0)),"",INDEX(Inputs!$B$66:$B$71,MATCH(MONTH(Output!G5),Inputs!$D$66:$D$71,0))-INDEX(Inputs!$C$66:$C$71,MATCH(MONTH(Output!G5),Inputs!$D$66:$D$71,0)))</f>
        <v>18100</v>
      </c>
      <c r="H7" s="80">
        <f>IF(ISERROR(VLOOKUP(MONTH(H5),Inputs!$D$66:$D$71,1,0)),"",INDEX(Inputs!$B$66:$B$71,MATCH(MONTH(Output!H5),Inputs!$D$66:$D$71,0))-INDEX(Inputs!$C$66:$C$71,MATCH(MONTH(Output!H5),Inputs!$D$66:$D$71,0)))</f>
        <v>9133</v>
      </c>
      <c r="I7" s="80">
        <f>IF(ISERROR(VLOOKUP(MONTH(I5),Inputs!$D$66:$D$71,1,0)),"",INDEX(Inputs!$B$66:$B$71,MATCH(MONTH(Output!I5),Inputs!$D$66:$D$71,0))-INDEX(Inputs!$C$66:$C$71,MATCH(MONTH(Output!I5),Inputs!$D$66:$D$71,0)))</f>
        <v>440</v>
      </c>
      <c r="J7" s="80">
        <f>IF(ISERROR(VLOOKUP(MONTH(J5),Inputs!$D$66:$D$71,1,0)),"",INDEX(Inputs!$B$66:$B$71,MATCH(MONTH(Output!J5),Inputs!$D$66:$D$71,0))-INDEX(Inputs!$C$66:$C$71,MATCH(MONTH(Output!J5),Inputs!$D$66:$D$71,0)))</f>
        <v>9128</v>
      </c>
      <c r="K7" s="80">
        <f>IF(ISERROR(VLOOKUP(MONTH(K5),Inputs!$D$66:$D$71,1,0)),"",INDEX(Inputs!$B$66:$B$71,MATCH(MONTH(Output!K5),Inputs!$D$66:$D$71,0))-INDEX(Inputs!$C$66:$C$71,MATCH(MONTH(Output!K5),Inputs!$D$66:$D$71,0)))</f>
        <v>9352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2610</v>
      </c>
      <c r="S7" s="80">
        <f>IF(ISERROR(VLOOKUP(MONTH(S5),Inputs!$D$66:$D$71,1,0)),"",INDEX(Inputs!$B$66:$B$71,MATCH(MONTH(Output!S5),Inputs!$D$66:$D$71,0))-INDEX(Inputs!$C$66:$C$71,MATCH(MONTH(Output!S5),Inputs!$D$66:$D$71,0)))</f>
        <v>18100</v>
      </c>
      <c r="T7" s="80">
        <f>IF(ISERROR(VLOOKUP(MONTH(T5),Inputs!$D$66:$D$71,1,0)),"",INDEX(Inputs!$B$66:$B$71,MATCH(MONTH(Output!T5),Inputs!$D$66:$D$71,0))-INDEX(Inputs!$C$66:$C$71,MATCH(MONTH(Output!T5),Inputs!$D$66:$D$71,0)))</f>
        <v>9133</v>
      </c>
      <c r="U7" s="80">
        <f>IF(ISERROR(VLOOKUP(MONTH(U5),Inputs!$D$66:$D$71,1,0)),"",INDEX(Inputs!$B$66:$B$71,MATCH(MONTH(Output!U5),Inputs!$D$66:$D$71,0))-INDEX(Inputs!$C$66:$C$71,MATCH(MONTH(Output!U5),Inputs!$D$66:$D$71,0)))</f>
        <v>440</v>
      </c>
      <c r="V7" s="80">
        <f>IF(ISERROR(VLOOKUP(MONTH(V5),Inputs!$D$66:$D$71,1,0)),"",INDEX(Inputs!$B$66:$B$71,MATCH(MONTH(Output!V5),Inputs!$D$66:$D$71,0))-INDEX(Inputs!$C$66:$C$71,MATCH(MONTH(Output!V5),Inputs!$D$66:$D$71,0)))</f>
        <v>9128</v>
      </c>
      <c r="W7" s="80">
        <f>IF(ISERROR(VLOOKUP(MONTH(W5),Inputs!$D$66:$D$71,1,0)),"",INDEX(Inputs!$B$66:$B$71,MATCH(MONTH(Output!W5),Inputs!$D$66:$D$71,0))-INDEX(Inputs!$C$66:$C$71,MATCH(MONTH(Output!W5),Inputs!$D$66:$D$71,0)))</f>
        <v>9352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127917.3246128918</v>
      </c>
      <c r="C11" s="80">
        <f>C6+C9-C10</f>
        <v>13640.40153596867</v>
      </c>
      <c r="D11" s="80">
        <f>D6+D9-D10</f>
        <v>14824.23650729383</v>
      </c>
      <c r="E11" s="80">
        <f>E6+E9-E10</f>
        <v>19754.7831867676</v>
      </c>
      <c r="F11" s="80">
        <f>F6+F9-F10</f>
        <v>7632.11307443021</v>
      </c>
      <c r="G11" s="80">
        <f>G6+G9-G10</f>
        <v>9683.86307443021</v>
      </c>
      <c r="H11" s="80">
        <f>H6+H9-H10</f>
        <v>1643.863074430206</v>
      </c>
      <c r="I11" s="80">
        <f>I6+I9-I10</f>
        <v>6443.86307443021</v>
      </c>
      <c r="J11" s="80">
        <f>J6+J9-J10</f>
        <v>14824.23650729383</v>
      </c>
      <c r="K11" s="80">
        <f>K6+K9-K10</f>
        <v>19754.7831867676</v>
      </c>
      <c r="L11" s="80">
        <f>L6+L9-L10</f>
        <v>7632.11307443021</v>
      </c>
      <c r="M11" s="80">
        <f>M6+M9-M10</f>
        <v>9683.86307443021</v>
      </c>
      <c r="N11" s="80">
        <f>N6+N9-N10</f>
        <v>893.8630744302063</v>
      </c>
      <c r="O11" s="80">
        <f>O6+O9-O10</f>
        <v>6443.86307443021</v>
      </c>
      <c r="P11" s="80">
        <f>P6+P9-P10</f>
        <v>29824.23650729383</v>
      </c>
      <c r="Q11" s="80">
        <f>Q6+Q9-Q10</f>
        <v>34754.7831867676</v>
      </c>
      <c r="R11" s="80">
        <f>R6+R9-R10</f>
        <v>22632.11307443021</v>
      </c>
      <c r="S11" s="80">
        <f>S6+S9-S10</f>
        <v>24683.86307443021</v>
      </c>
      <c r="T11" s="80">
        <f>T6+T9-T10</f>
        <v>16643.86307443021</v>
      </c>
      <c r="U11" s="80">
        <f>U6+U9-U10</f>
        <v>21443.86307443021</v>
      </c>
      <c r="V11" s="80">
        <f>V6+V9-V10</f>
        <v>29824.23650729383</v>
      </c>
      <c r="W11" s="80">
        <f>W6+W9-W10</f>
        <v>34754.7831867676</v>
      </c>
      <c r="X11" s="80">
        <f>X6+X9-X10</f>
        <v>22632.11307443021</v>
      </c>
      <c r="Y11" s="80">
        <f>Y6+Y9-Y10</f>
        <v>24683.86307443021</v>
      </c>
      <c r="Z11" s="85">
        <f>SUMIF($B$13:$Y$13,"Yes",B11:Y11)</f>
        <v>260773.1701324249</v>
      </c>
      <c r="AA11" s="80">
        <f>SUM(B11:M11)</f>
        <v>253435.4439835645</v>
      </c>
      <c r="AB11" s="46">
        <f>SUM(B11:Y11)</f>
        <v>522650.887967129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0.08752379636411731</v>
      </c>
      <c r="E12" s="82">
        <f>IF(E13="Yes",IF(SUM($B$10:E10)/(SUM($B$6:E6)+SUM($B$9:E9))&lt;0,999.99,SUM($B$10:E10)/(SUM($B$6:E6)+SUM($B$9:E9))),"")</f>
        <v>0.1455344600368354</v>
      </c>
      <c r="F12" s="82">
        <f>IF(F13="Yes",IF(SUM($B$10:F10)/(SUM($B$6:F6)+SUM($B$9:F9))&lt;0,999.99,SUM($B$10:F10)/(SUM($B$6:F6)+SUM($B$9:F9))),"")</f>
        <v>0.1967050944475676</v>
      </c>
      <c r="G12" s="82">
        <f>IF(G13="Yes",IF(SUM($B$10:G10)/(SUM($B$6:G6)+SUM($B$9:G9))&lt;0,999.99,SUM($B$10:G10)/(SUM($B$6:G6)+SUM($B$9:G9))),"")</f>
        <v>0.2367305410195807</v>
      </c>
      <c r="H12" s="82">
        <f>IF(H13="Yes",IF(SUM($B$10:H10)/(SUM($B$6:H6)+SUM($B$9:H9))&lt;0,999.99,SUM($B$10:H10)/(SUM($B$6:H6)+SUM($B$9:H9))),"")</f>
        <v>0.2776784459589307</v>
      </c>
      <c r="I12" s="82">
        <f>IF(I13="Yes",IF(SUM($B$10:I10)/(SUM($B$6:I6)+SUM($B$9:I9))&lt;0,999.99,SUM($B$10:I10)/(SUM($B$6:I6)+SUM($B$9:I9))),"")</f>
        <v>0.3087050204319604</v>
      </c>
      <c r="J12" s="82">
        <f>IF(J13="Yes",IF(SUM($B$10:J10)/(SUM($B$6:J6)+SUM($B$9:J9))&lt;0,999.99,SUM($B$10:J10)/(SUM($B$6:J6)+SUM($B$9:J9))),"")</f>
        <v>0.3267316074727697</v>
      </c>
      <c r="K12" s="82">
        <f>IF(K13="Yes",IF(SUM($B$10:K10)/(SUM($B$6:K6)+SUM($B$9:K9))&lt;0,999.99,SUM($B$10:K10)/(SUM($B$6:K6)+SUM($B$9:K9))),"")</f>
        <v>0.336965571496639</v>
      </c>
      <c r="L12" s="82">
        <f>IF(L13="Yes",IF(SUM($B$10:L10)/(SUM($B$6:L6)+SUM($B$9:L9))&lt;0,999.99,SUM($B$10:L10)/(SUM($B$6:L6)+SUM($B$9:L9))),"")</f>
        <v>0.3564341558019467</v>
      </c>
      <c r="M12" s="82">
        <f>IF(M13="Yes",IF(SUM($B$10:M10)/(SUM($B$6:M6)+SUM($B$9:M9))&lt;0,999.99,SUM($B$10:M10)/(SUM($B$6:M6)+SUM($B$9:M9))),"")</f>
        <v>0.3718066972968068</v>
      </c>
      <c r="N12" s="82">
        <f>IF(N13="Yes",IF(SUM($B$10:N10)/(SUM($B$6:N6)+SUM($B$9:N9))&lt;0,999.99,SUM($B$10:N10)/(SUM($B$6:N6)+SUM($B$9:N9))),"")</f>
        <v>0.3934854951055923</v>
      </c>
      <c r="O12" s="82">
        <f>IF(O13="Yes",IF(SUM($B$10:O10)/(SUM($B$6:O6)+SUM($B$9:O9))&lt;0,999.99,SUM($B$10:O10)/(SUM($B$6:O6)+SUM($B$9:O9))),"")</f>
        <v>0.4083733135252338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9472.43342694783</v>
      </c>
      <c r="E18" s="36">
        <f>Q18</f>
        <v>11366.9201123374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9472.43342694783</v>
      </c>
      <c r="K18" s="36">
        <f>W18</f>
        <v>11366.9201123374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9472.43342694783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11366.9201123374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9472.43342694783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11366.9201123374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41678.70707857045</v>
      </c>
      <c r="AA18" s="36">
        <f>SUM(B18:M18)</f>
        <v>41678.70707857045</v>
      </c>
      <c r="AB18" s="36">
        <f>SUM(B18:Y18)</f>
        <v>83357.4141571409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3491.25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3491.25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3491.25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3491.25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6982.5</v>
      </c>
      <c r="AA19" s="36">
        <f>SUM(B19:M19)</f>
        <v>6982.5</v>
      </c>
      <c r="AB19" s="36">
        <f>SUM(B19:Y19)</f>
        <v>13965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Sukuma week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28544.36090225563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223562.5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574.9999999999999</v>
      </c>
      <c r="C25" s="36">
        <f>IFERROR(Calculations!$P15/12,"")</f>
        <v>574.9999999999999</v>
      </c>
      <c r="D25" s="36">
        <f>IFERROR(Calculations!$P15/12,"")</f>
        <v>574.9999999999999</v>
      </c>
      <c r="E25" s="36">
        <f>IFERROR(Calculations!$P15/12,"")</f>
        <v>574.9999999999999</v>
      </c>
      <c r="F25" s="36">
        <f>IFERROR(Calculations!$P15/12,"")</f>
        <v>574.9999999999999</v>
      </c>
      <c r="G25" s="36">
        <f>IFERROR(Calculations!$P15/12,"")</f>
        <v>574.9999999999999</v>
      </c>
      <c r="H25" s="36">
        <f>IFERROR(Calculations!$P15/12,"")</f>
        <v>574.9999999999999</v>
      </c>
      <c r="I25" s="36">
        <f>IFERROR(Calculations!$P15/12,"")</f>
        <v>574.9999999999999</v>
      </c>
      <c r="J25" s="36">
        <f>IFERROR(Calculations!$P15/12,"")</f>
        <v>574.9999999999999</v>
      </c>
      <c r="K25" s="36">
        <f>IFERROR(Calculations!$P15/12,"")</f>
        <v>574.9999999999999</v>
      </c>
      <c r="L25" s="36">
        <f>IFERROR(Calculations!$P15/12,"")</f>
        <v>574.9999999999999</v>
      </c>
      <c r="M25" s="36">
        <f>IFERROR(Calculations!$P15/12,"")</f>
        <v>574.9999999999999</v>
      </c>
      <c r="N25" s="36">
        <f>IFERROR(Calculations!$P15/12,"")</f>
        <v>574.9999999999999</v>
      </c>
      <c r="O25" s="36">
        <f>IFERROR(Calculations!$P15/12,"")</f>
        <v>574.9999999999999</v>
      </c>
      <c r="P25" s="36">
        <f>IFERROR(Calculations!$P15/12,"")</f>
        <v>574.9999999999999</v>
      </c>
      <c r="Q25" s="36">
        <f>IFERROR(Calculations!$P15/12,"")</f>
        <v>574.9999999999999</v>
      </c>
      <c r="R25" s="36">
        <f>IFERROR(Calculations!$P15/12,"")</f>
        <v>574.9999999999999</v>
      </c>
      <c r="S25" s="36">
        <f>IFERROR(Calculations!$P15/12,"")</f>
        <v>574.9999999999999</v>
      </c>
      <c r="T25" s="36">
        <f>IFERROR(Calculations!$P15/12,"")</f>
        <v>574.9999999999999</v>
      </c>
      <c r="U25" s="36">
        <f>IFERROR(Calculations!$P15/12,"")</f>
        <v>574.9999999999999</v>
      </c>
      <c r="V25" s="36">
        <f>IFERROR(Calculations!$P15/12,"")</f>
        <v>574.9999999999999</v>
      </c>
      <c r="W25" s="36">
        <f>IFERROR(Calculations!$P15/12,"")</f>
        <v>574.9999999999999</v>
      </c>
      <c r="X25" s="36">
        <f>IFERROR(Calculations!$P15/12,"")</f>
        <v>574.9999999999999</v>
      </c>
      <c r="Y25" s="36">
        <f>IFERROR(Calculations!$P15/12,"")</f>
        <v>574.9999999999999</v>
      </c>
      <c r="Z25" s="36">
        <f>SUMIF($B$13:$Y$13,"Yes",B25:Y25)</f>
        <v>8049.999999999999</v>
      </c>
      <c r="AA25" s="36">
        <f>SUM(B25:M25)</f>
        <v>6899.999999999999</v>
      </c>
      <c r="AB25" s="46">
        <f>SUM(B25:Y25)</f>
        <v>13800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3250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3250</v>
      </c>
      <c r="AA27" s="36">
        <f>SUM(B27:M27)</f>
        <v>0</v>
      </c>
      <c r="AB27" s="46">
        <f>SUM(B27:Y27)</f>
        <v>3250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476000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50543.75</v>
      </c>
      <c r="C30" s="19">
        <f>SUM(C18:C29)</f>
        <v>50543.75</v>
      </c>
      <c r="D30" s="19">
        <f>SUM(D18:D29)</f>
        <v>60016.18342694783</v>
      </c>
      <c r="E30" s="19">
        <f>SUM(E18:E29)</f>
        <v>61910.67011233739</v>
      </c>
      <c r="F30" s="19">
        <f>SUM(F18:F29)</f>
        <v>54035</v>
      </c>
      <c r="G30" s="19">
        <f>SUM(G18:G29)</f>
        <v>50543.75</v>
      </c>
      <c r="H30" s="19">
        <f>SUM(H18:H29)</f>
        <v>50543.75</v>
      </c>
      <c r="I30" s="19">
        <f>SUM(I18:I29)</f>
        <v>50543.75</v>
      </c>
      <c r="J30" s="19">
        <f>SUM(J18:J29)</f>
        <v>60016.18342694783</v>
      </c>
      <c r="K30" s="19">
        <f>SUM(K18:K29)</f>
        <v>61910.67011233739</v>
      </c>
      <c r="L30" s="19">
        <f>SUM(L18:L29)</f>
        <v>54035</v>
      </c>
      <c r="M30" s="19">
        <f>SUM(M18:M29)</f>
        <v>50543.75</v>
      </c>
      <c r="N30" s="19">
        <f>SUM(N18:N29)</f>
        <v>53793.75</v>
      </c>
      <c r="O30" s="19">
        <f>SUM(O18:O29)</f>
        <v>50543.75</v>
      </c>
      <c r="P30" s="19">
        <f>SUM(P18:P29)</f>
        <v>60016.18342694783</v>
      </c>
      <c r="Q30" s="19">
        <f>SUM(Q18:Q29)</f>
        <v>61910.67011233739</v>
      </c>
      <c r="R30" s="19">
        <f>SUM(R18:R29)</f>
        <v>54035</v>
      </c>
      <c r="S30" s="19">
        <f>SUM(S18:S29)</f>
        <v>50543.75</v>
      </c>
      <c r="T30" s="19">
        <f>SUM(T18:T29)</f>
        <v>50543.75</v>
      </c>
      <c r="U30" s="19">
        <f>SUM(U18:U29)</f>
        <v>50543.75</v>
      </c>
      <c r="V30" s="19">
        <f>SUM(V18:V29)</f>
        <v>60016.18342694783</v>
      </c>
      <c r="W30" s="19">
        <f>SUM(W18:W29)</f>
        <v>61910.67011233739</v>
      </c>
      <c r="X30" s="19">
        <f>SUM(X18:X29)</f>
        <v>54035</v>
      </c>
      <c r="Y30" s="19">
        <f>SUM(Y18:Y29)</f>
        <v>50543.75</v>
      </c>
      <c r="Z30" s="19">
        <f>SUMIF($B$13:$Y$13,"Yes",B30:Y30)</f>
        <v>759523.7070785705</v>
      </c>
      <c r="AA30" s="19">
        <f>SUM(B30:M30)</f>
        <v>655186.2070785705</v>
      </c>
      <c r="AB30" s="19">
        <f>SUM(B30:Y30)</f>
        <v>1313622.414157141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303.0000000000001</v>
      </c>
      <c r="G42" s="36">
        <f>S42</f>
        <v>0</v>
      </c>
      <c r="H42" s="36">
        <f>T42</f>
        <v>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303.0000000000001</v>
      </c>
      <c r="M42" s="36">
        <f>Y42</f>
        <v>0</v>
      </c>
      <c r="N42" s="36">
        <f>SUM(N43:N47)</f>
        <v>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303.0000000000001</v>
      </c>
      <c r="S42" s="36">
        <f>SUM(S43:S47)</f>
        <v>0</v>
      </c>
      <c r="T42" s="36">
        <f>SUM(T43:T47)</f>
        <v>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303.0000000000001</v>
      </c>
      <c r="Y42" s="36">
        <f>SUM(Y43:Y47)</f>
        <v>0</v>
      </c>
      <c r="Z42" s="36">
        <f>SUMIF($B$13:$Y$13,"Yes",B42:Y42)</f>
        <v>8106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303.0000000000001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303.0000000000001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303.0000000000001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303.0000000000001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300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300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300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900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300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300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300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300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1092.059994084211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1092.059994084211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1092.059994084211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1092.059994084211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2184.119988168422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1092.059994084211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1092.059994084211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1092.059994084211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1092.059994084211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2184.119988168422</v>
      </c>
      <c r="AA55" s="46">
        <f>SUM(B55:M55)</f>
        <v>2184.119988168422</v>
      </c>
      <c r="AB55" s="46">
        <f>SUM(B55:Y55)</f>
        <v>4368.239976336844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5184</v>
      </c>
      <c r="C66" s="36">
        <f>O66</f>
        <v>5184</v>
      </c>
      <c r="D66" s="36">
        <f>P66</f>
        <v>5184</v>
      </c>
      <c r="E66" s="36">
        <f>Q66</f>
        <v>3240</v>
      </c>
      <c r="F66" s="36">
        <f>R66</f>
        <v>5184</v>
      </c>
      <c r="G66" s="36">
        <f>S66</f>
        <v>1944</v>
      </c>
      <c r="H66" s="36">
        <f>T66</f>
        <v>5184</v>
      </c>
      <c r="I66" s="36">
        <f>U66</f>
        <v>5184</v>
      </c>
      <c r="J66" s="36">
        <f>V66</f>
        <v>5184</v>
      </c>
      <c r="K66" s="36">
        <f>W66</f>
        <v>3240</v>
      </c>
      <c r="L66" s="36">
        <f>X66</f>
        <v>5184</v>
      </c>
      <c r="M66" s="36">
        <f>Y66</f>
        <v>1944</v>
      </c>
      <c r="N66" s="46">
        <f>SUM(N67:N71)</f>
        <v>5184</v>
      </c>
      <c r="O66" s="46">
        <f>SUM(O67:O71)</f>
        <v>5184</v>
      </c>
      <c r="P66" s="46">
        <f>SUM(P67:P71)</f>
        <v>5184</v>
      </c>
      <c r="Q66" s="46">
        <f>SUM(Q67:Q71)</f>
        <v>3240</v>
      </c>
      <c r="R66" s="46">
        <f>SUM(R67:R71)</f>
        <v>5184</v>
      </c>
      <c r="S66" s="46">
        <f>SUM(S67:S71)</f>
        <v>1944</v>
      </c>
      <c r="T66" s="46">
        <f>SUM(T67:T71)</f>
        <v>5184</v>
      </c>
      <c r="U66" s="46">
        <f>SUM(U67:U71)</f>
        <v>5184</v>
      </c>
      <c r="V66" s="46">
        <f>SUM(V67:V71)</f>
        <v>5184</v>
      </c>
      <c r="W66" s="46">
        <f>SUM(W67:W71)</f>
        <v>3240</v>
      </c>
      <c r="X66" s="46">
        <f>SUM(X67:X71)</f>
        <v>5184</v>
      </c>
      <c r="Y66" s="46">
        <f>SUM(Y67:Y71)</f>
        <v>1944</v>
      </c>
      <c r="Z66" s="46">
        <f>SUMIF($B$13:$Y$13,"Yes",B66:Y66)</f>
        <v>62208</v>
      </c>
      <c r="AA66" s="46">
        <f>SUM(B66:M66)</f>
        <v>51840</v>
      </c>
      <c r="AB66" s="46">
        <f>SUM(B66:Y66)</f>
        <v>103680</v>
      </c>
    </row>
    <row r="67" spans="1:30" hidden="true" outlineLevel="1">
      <c r="A67" s="181" t="str">
        <f>Calculations!$A$4</f>
        <v>Maize</v>
      </c>
      <c r="B67" s="36">
        <f>N67</f>
        <v>1944</v>
      </c>
      <c r="C67" s="36">
        <f>O67</f>
        <v>1944</v>
      </c>
      <c r="D67" s="36">
        <f>P67</f>
        <v>1944</v>
      </c>
      <c r="E67" s="36">
        <f>Q67</f>
        <v>0</v>
      </c>
      <c r="F67" s="36">
        <f>R67</f>
        <v>1944</v>
      </c>
      <c r="G67" s="36">
        <f>S67</f>
        <v>1944</v>
      </c>
      <c r="H67" s="36">
        <f>T67</f>
        <v>1944</v>
      </c>
      <c r="I67" s="36">
        <f>U67</f>
        <v>1944</v>
      </c>
      <c r="J67" s="36">
        <f>V67</f>
        <v>1944</v>
      </c>
      <c r="K67" s="36">
        <f>W67</f>
        <v>0</v>
      </c>
      <c r="L67" s="36">
        <f>X67</f>
        <v>1944</v>
      </c>
      <c r="M67" s="36">
        <f>Y67</f>
        <v>1944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1944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1944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1944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1944</v>
      </c>
      <c r="Z67" s="46">
        <f>SUMIF($B$13:$Y$13,"Yes",B67:Y67)</f>
        <v>23328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 t="str">
        <f>Calculations!$A$5</f>
        <v>Beans</v>
      </c>
      <c r="B68" s="36">
        <f>N68</f>
        <v>3240</v>
      </c>
      <c r="C68" s="36">
        <f>O68</f>
        <v>3240</v>
      </c>
      <c r="D68" s="36">
        <f>P68</f>
        <v>3240</v>
      </c>
      <c r="E68" s="36">
        <f>Q68</f>
        <v>3240</v>
      </c>
      <c r="F68" s="36">
        <f>R68</f>
        <v>3240</v>
      </c>
      <c r="G68" s="36">
        <f>S68</f>
        <v>0</v>
      </c>
      <c r="H68" s="36">
        <f>T68</f>
        <v>3240</v>
      </c>
      <c r="I68" s="36">
        <f>U68</f>
        <v>3240</v>
      </c>
      <c r="J68" s="36">
        <f>V68</f>
        <v>3240</v>
      </c>
      <c r="K68" s="36">
        <f>W68</f>
        <v>3240</v>
      </c>
      <c r="L68" s="36">
        <f>X68</f>
        <v>3240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3240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3240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3240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3240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38880</v>
      </c>
      <c r="AA68" s="46">
        <f>SUM(B68:M68)</f>
        <v>32400</v>
      </c>
      <c r="AB68" s="46">
        <f>SUM(B68:Y68)</f>
        <v>64800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2053.125</v>
      </c>
      <c r="C74" s="46">
        <f>SUM(Calculations!$Q$14:$Q$16)/12</f>
        <v>2053.125</v>
      </c>
      <c r="D74" s="46">
        <f>SUM(Calculations!$Q$14:$Q$16)/12</f>
        <v>2053.125</v>
      </c>
      <c r="E74" s="46">
        <f>SUM(Calculations!$Q$14:$Q$16)/12</f>
        <v>2053.125</v>
      </c>
      <c r="F74" s="46">
        <f>SUM(Calculations!$Q$14:$Q$16)/12</f>
        <v>2053.125</v>
      </c>
      <c r="G74" s="46">
        <f>SUM(Calculations!$Q$14:$Q$16)/12</f>
        <v>2053.125</v>
      </c>
      <c r="H74" s="46">
        <f>SUM(Calculations!$Q$14:$Q$16)/12</f>
        <v>2053.125</v>
      </c>
      <c r="I74" s="46">
        <f>SUM(Calculations!$Q$14:$Q$16)/12</f>
        <v>2053.125</v>
      </c>
      <c r="J74" s="46">
        <f>SUM(Calculations!$Q$14:$Q$16)/12</f>
        <v>2053.125</v>
      </c>
      <c r="K74" s="46">
        <f>SUM(Calculations!$Q$14:$Q$16)/12</f>
        <v>2053.125</v>
      </c>
      <c r="L74" s="46">
        <f>SUM(Calculations!$Q$14:$Q$16)/12</f>
        <v>2053.125</v>
      </c>
      <c r="M74" s="46">
        <f>SUM(Calculations!$Q$14:$Q$16)/12</f>
        <v>2053.125</v>
      </c>
      <c r="N74" s="46">
        <f>SUM(Calculations!$Q$14:$Q$16)/12</f>
        <v>2053.125</v>
      </c>
      <c r="O74" s="46">
        <f>SUM(Calculations!$Q$14:$Q$16)/12</f>
        <v>2053.125</v>
      </c>
      <c r="P74" s="46">
        <f>SUM(Calculations!$Q$14:$Q$16)/12</f>
        <v>2053.125</v>
      </c>
      <c r="Q74" s="46">
        <f>SUM(Calculations!$Q$14:$Q$16)/12</f>
        <v>2053.125</v>
      </c>
      <c r="R74" s="46">
        <f>SUM(Calculations!$Q$14:$Q$16)/12</f>
        <v>2053.125</v>
      </c>
      <c r="S74" s="46">
        <f>SUM(Calculations!$Q$14:$Q$16)/12</f>
        <v>2053.125</v>
      </c>
      <c r="T74" s="46">
        <f>SUM(Calculations!$Q$14:$Q$16)/12</f>
        <v>2053.125</v>
      </c>
      <c r="U74" s="46">
        <f>SUM(Calculations!$Q$14:$Q$16)/12</f>
        <v>2053.125</v>
      </c>
      <c r="V74" s="46">
        <f>SUM(Calculations!$Q$14:$Q$16)/12</f>
        <v>2053.125</v>
      </c>
      <c r="W74" s="46">
        <f>SUM(Calculations!$Q$14:$Q$16)/12</f>
        <v>2053.125</v>
      </c>
      <c r="X74" s="46">
        <f>SUM(Calculations!$Q$14:$Q$16)/12</f>
        <v>2053.125</v>
      </c>
      <c r="Y74" s="46">
        <f>SUM(Calculations!$Q$14:$Q$16)/12</f>
        <v>2053.125</v>
      </c>
      <c r="Z74" s="46">
        <f>SUMIF($B$13:$Y$13,"Yes",B74:Y74)</f>
        <v>28743.75</v>
      </c>
      <c r="AA74" s="46">
        <f>SUM(B74:M74)</f>
        <v>24637.5</v>
      </c>
      <c r="AB74" s="46">
        <f>SUM(B74:Y74)</f>
        <v>49275</v>
      </c>
    </row>
    <row r="75" spans="1:30">
      <c r="A75" s="16" t="s">
        <v>47</v>
      </c>
      <c r="B75" s="46">
        <f>SUM(Calculations!$R$14:$R$16)/12</f>
        <v>230.8888888888889</v>
      </c>
      <c r="C75" s="46">
        <f>SUM(Calculations!$R$14:$R$16)/12</f>
        <v>230.8888888888889</v>
      </c>
      <c r="D75" s="46">
        <f>SUM(Calculations!$R$14:$R$16)/12</f>
        <v>230.8888888888889</v>
      </c>
      <c r="E75" s="46">
        <f>SUM(Calculations!$R$14:$R$16)/12</f>
        <v>230.8888888888889</v>
      </c>
      <c r="F75" s="46">
        <f>SUM(Calculations!$R$14:$R$16)/12</f>
        <v>230.8888888888889</v>
      </c>
      <c r="G75" s="46">
        <f>SUM(Calculations!$R$14:$R$16)/12</f>
        <v>230.8888888888889</v>
      </c>
      <c r="H75" s="46">
        <f>SUM(Calculations!$R$14:$R$16)/12</f>
        <v>230.8888888888889</v>
      </c>
      <c r="I75" s="46">
        <f>SUM(Calculations!$R$14:$R$16)/12</f>
        <v>230.8888888888889</v>
      </c>
      <c r="J75" s="46">
        <f>SUM(Calculations!$R$14:$R$16)/12</f>
        <v>230.8888888888889</v>
      </c>
      <c r="K75" s="46">
        <f>SUM(Calculations!$R$14:$R$16)/12</f>
        <v>230.8888888888889</v>
      </c>
      <c r="L75" s="46">
        <f>SUM(Calculations!$R$14:$R$16)/12</f>
        <v>230.8888888888889</v>
      </c>
      <c r="M75" s="46">
        <f>SUM(Calculations!$R$14:$R$16)/12</f>
        <v>230.8888888888889</v>
      </c>
      <c r="N75" s="46">
        <f>SUM(Calculations!$R$14:$R$16)/12</f>
        <v>230.8888888888889</v>
      </c>
      <c r="O75" s="46">
        <f>SUM(Calculations!$R$14:$R$16)/12</f>
        <v>230.8888888888889</v>
      </c>
      <c r="P75" s="46">
        <f>SUM(Calculations!$R$14:$R$16)/12</f>
        <v>230.8888888888889</v>
      </c>
      <c r="Q75" s="46">
        <f>SUM(Calculations!$R$14:$R$16)/12</f>
        <v>230.8888888888889</v>
      </c>
      <c r="R75" s="46">
        <f>SUM(Calculations!$R$14:$R$16)/12</f>
        <v>230.8888888888889</v>
      </c>
      <c r="S75" s="46">
        <f>SUM(Calculations!$R$14:$R$16)/12</f>
        <v>230.8888888888889</v>
      </c>
      <c r="T75" s="46">
        <f>SUM(Calculations!$R$14:$R$16)/12</f>
        <v>230.8888888888889</v>
      </c>
      <c r="U75" s="46">
        <f>SUM(Calculations!$R$14:$R$16)/12</f>
        <v>230.8888888888889</v>
      </c>
      <c r="V75" s="46">
        <f>SUM(Calculations!$R$14:$R$16)/12</f>
        <v>230.8888888888889</v>
      </c>
      <c r="W75" s="46">
        <f>SUM(Calculations!$R$14:$R$16)/12</f>
        <v>230.8888888888889</v>
      </c>
      <c r="X75" s="46">
        <f>SUM(Calculations!$R$14:$R$16)/12</f>
        <v>230.8888888888889</v>
      </c>
      <c r="Y75" s="46">
        <f>SUM(Calculations!$R$14:$R$16)/12</f>
        <v>230.8888888888889</v>
      </c>
      <c r="Z75" s="46">
        <f>SUMIF($B$13:$Y$13,"Yes",B75:Y75)</f>
        <v>3232.444444444443</v>
      </c>
      <c r="AA75" s="46">
        <f>SUM(B75:M75)</f>
        <v>2770.666666666666</v>
      </c>
      <c r="AB75" s="46">
        <f>SUM(B75:Y75)</f>
        <v>5541.33333333333</v>
      </c>
    </row>
    <row r="76" spans="1:30">
      <c r="A76" s="16" t="s">
        <v>48</v>
      </c>
      <c r="B76" s="46">
        <f>SUM(Calculations!$S$14:$S$16)/12</f>
        <v>1189.348370927318</v>
      </c>
      <c r="C76" s="46">
        <f>SUM(Calculations!$S$14:$S$16)/12</f>
        <v>1189.348370927318</v>
      </c>
      <c r="D76" s="46">
        <f>SUM(Calculations!$S$14:$S$16)/12</f>
        <v>1189.348370927318</v>
      </c>
      <c r="E76" s="46">
        <f>SUM(Calculations!$S$14:$S$16)/12</f>
        <v>1189.348370927318</v>
      </c>
      <c r="F76" s="46">
        <f>SUM(Calculations!$S$14:$S$16)/12</f>
        <v>1189.348370927318</v>
      </c>
      <c r="G76" s="46">
        <f>SUM(Calculations!$S$14:$S$16)/12</f>
        <v>1189.348370927318</v>
      </c>
      <c r="H76" s="46">
        <f>SUM(Calculations!$S$14:$S$16)/12</f>
        <v>1189.348370927318</v>
      </c>
      <c r="I76" s="46">
        <f>SUM(Calculations!$S$14:$S$16)/12</f>
        <v>1189.348370927318</v>
      </c>
      <c r="J76" s="46">
        <f>SUM(Calculations!$S$14:$S$16)/12</f>
        <v>1189.348370927318</v>
      </c>
      <c r="K76" s="46">
        <f>SUM(Calculations!$S$14:$S$16)/12</f>
        <v>1189.348370927318</v>
      </c>
      <c r="L76" s="46">
        <f>SUM(Calculations!$S$14:$S$16)/12</f>
        <v>1189.348370927318</v>
      </c>
      <c r="M76" s="46">
        <f>SUM(Calculations!$S$14:$S$16)/12</f>
        <v>1189.348370927318</v>
      </c>
      <c r="N76" s="46">
        <f>SUM(Calculations!$S$14:$S$16)/12</f>
        <v>1189.348370927318</v>
      </c>
      <c r="O76" s="46">
        <f>SUM(Calculations!$S$14:$S$16)/12</f>
        <v>1189.348370927318</v>
      </c>
      <c r="P76" s="46">
        <f>SUM(Calculations!$S$14:$S$16)/12</f>
        <v>1189.348370927318</v>
      </c>
      <c r="Q76" s="46">
        <f>SUM(Calculations!$S$14:$S$16)/12</f>
        <v>1189.348370927318</v>
      </c>
      <c r="R76" s="46">
        <f>SUM(Calculations!$S$14:$S$16)/12</f>
        <v>1189.348370927318</v>
      </c>
      <c r="S76" s="46">
        <f>SUM(Calculations!$S$14:$S$16)/12</f>
        <v>1189.348370927318</v>
      </c>
      <c r="T76" s="46">
        <f>SUM(Calculations!$S$14:$S$16)/12</f>
        <v>1189.348370927318</v>
      </c>
      <c r="U76" s="46">
        <f>SUM(Calculations!$S$14:$S$16)/12</f>
        <v>1189.348370927318</v>
      </c>
      <c r="V76" s="46">
        <f>SUM(Calculations!$S$14:$S$16)/12</f>
        <v>1189.348370927318</v>
      </c>
      <c r="W76" s="46">
        <f>SUM(Calculations!$S$14:$S$16)/12</f>
        <v>1189.348370927318</v>
      </c>
      <c r="X76" s="46">
        <f>SUM(Calculations!$S$14:$S$16)/12</f>
        <v>1189.348370927318</v>
      </c>
      <c r="Y76" s="46">
        <f>SUM(Calculations!$S$14:$S$16)/12</f>
        <v>1189.348370927318</v>
      </c>
      <c r="Z76" s="46">
        <f>SUMIF($B$13:$Y$13,"Yes",B76:Y76)</f>
        <v>16650.87719298246</v>
      </c>
      <c r="AA76" s="46">
        <f>SUM(B76:M76)</f>
        <v>14272.18045112782</v>
      </c>
      <c r="AB76" s="46">
        <f>SUM(B76:Y76)</f>
        <v>28544.36090225563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16442.52466575358</v>
      </c>
      <c r="C81" s="46">
        <f>(SUM($AA$18:$AA$29)-SUM($AA$36,$AA$42,$AA$48,$AA$54,$AA$60,$AA$66,$AA$72:$AA$79))*Parameters!$B$37/12</f>
        <v>16442.52466575358</v>
      </c>
      <c r="D81" s="46">
        <f>(SUM($AA$18:$AA$29)-SUM($AA$36,$AA$42,$AA$48,$AA$54,$AA$60,$AA$66,$AA$72:$AA$79))*Parameters!$B$37/12</f>
        <v>16442.52466575358</v>
      </c>
      <c r="E81" s="46">
        <f>(SUM($AA$18:$AA$29)-SUM($AA$36,$AA$42,$AA$48,$AA$54,$AA$60,$AA$66,$AA$72:$AA$79))*Parameters!$B$37/12</f>
        <v>16442.52466575358</v>
      </c>
      <c r="F81" s="46">
        <f>(SUM($AA$18:$AA$29)-SUM($AA$36,$AA$42,$AA$48,$AA$54,$AA$60,$AA$66,$AA$72:$AA$79))*Parameters!$B$37/12</f>
        <v>16442.52466575358</v>
      </c>
      <c r="G81" s="46">
        <f>(SUM($AA$18:$AA$29)-SUM($AA$36,$AA$42,$AA$48,$AA$54,$AA$60,$AA$66,$AA$72:$AA$79))*Parameters!$B$37/12</f>
        <v>16442.52466575358</v>
      </c>
      <c r="H81" s="46">
        <f>(SUM($AA$18:$AA$29)-SUM($AA$36,$AA$42,$AA$48,$AA$54,$AA$60,$AA$66,$AA$72:$AA$79))*Parameters!$B$37/12</f>
        <v>16442.52466575358</v>
      </c>
      <c r="I81" s="46">
        <f>(SUM($AA$18:$AA$29)-SUM($AA$36,$AA$42,$AA$48,$AA$54,$AA$60,$AA$66,$AA$72:$AA$79))*Parameters!$B$37/12</f>
        <v>16442.52466575358</v>
      </c>
      <c r="J81" s="46">
        <f>(SUM($AA$18:$AA$29)-SUM($AA$36,$AA$42,$AA$48,$AA$54,$AA$60,$AA$66,$AA$72:$AA$79))*Parameters!$B$37/12</f>
        <v>16442.52466575358</v>
      </c>
      <c r="K81" s="46">
        <f>(SUM($AA$18:$AA$29)-SUM($AA$36,$AA$42,$AA$48,$AA$54,$AA$60,$AA$66,$AA$72:$AA$79))*Parameters!$B$37/12</f>
        <v>16442.52466575358</v>
      </c>
      <c r="L81" s="46">
        <f>(SUM($AA$18:$AA$29)-SUM($AA$36,$AA$42,$AA$48,$AA$54,$AA$60,$AA$66,$AA$72:$AA$79))*Parameters!$B$37/12</f>
        <v>16442.52466575358</v>
      </c>
      <c r="M81" s="46">
        <f>(SUM($AA$18:$AA$29)-SUM($AA$36,$AA$42,$AA$48,$AA$54,$AA$60,$AA$66,$AA$72:$AA$79))*Parameters!$B$37/12</f>
        <v>16442.52466575358</v>
      </c>
      <c r="N81" s="46">
        <f>(SUM($AA$18:$AA$29)-SUM($AA$36,$AA$42,$AA$48,$AA$54,$AA$60,$AA$66,$AA$72:$AA$79))*Parameters!$B$37/12</f>
        <v>16442.52466575358</v>
      </c>
      <c r="O81" s="46">
        <f>(SUM($AA$18:$AA$29)-SUM($AA$36,$AA$42,$AA$48,$AA$54,$AA$60,$AA$66,$AA$72:$AA$79))*Parameters!$B$37/12</f>
        <v>16442.52466575358</v>
      </c>
      <c r="P81" s="46">
        <f>(SUM($AA$18:$AA$29)-SUM($AA$36,$AA$42,$AA$48,$AA$54,$AA$60,$AA$66,$AA$72:$AA$79))*Parameters!$B$37/12</f>
        <v>16442.52466575358</v>
      </c>
      <c r="Q81" s="46">
        <f>(SUM($AA$18:$AA$29)-SUM($AA$36,$AA$42,$AA$48,$AA$54,$AA$60,$AA$66,$AA$72:$AA$79))*Parameters!$B$37/12</f>
        <v>16442.52466575358</v>
      </c>
      <c r="R81" s="46">
        <f>(SUM($AA$18:$AA$29)-SUM($AA$36,$AA$42,$AA$48,$AA$54,$AA$60,$AA$66,$AA$72:$AA$79))*Parameters!$B$37/12</f>
        <v>16442.52466575358</v>
      </c>
      <c r="S81" s="46">
        <f>(SUM($AA$18:$AA$29)-SUM($AA$36,$AA$42,$AA$48,$AA$54,$AA$60,$AA$66,$AA$72:$AA$79))*Parameters!$B$37/12</f>
        <v>16442.52466575358</v>
      </c>
      <c r="T81" s="46">
        <f>(SUM($AA$18:$AA$29)-SUM($AA$36,$AA$42,$AA$48,$AA$54,$AA$60,$AA$66,$AA$72:$AA$79))*Parameters!$B$37/12</f>
        <v>16442.52466575358</v>
      </c>
      <c r="U81" s="46">
        <f>(SUM($AA$18:$AA$29)-SUM($AA$36,$AA$42,$AA$48,$AA$54,$AA$60,$AA$66,$AA$72:$AA$79))*Parameters!$B$37/12</f>
        <v>16442.52466575358</v>
      </c>
      <c r="V81" s="46">
        <f>(SUM($AA$18:$AA$29)-SUM($AA$36,$AA$42,$AA$48,$AA$54,$AA$60,$AA$66,$AA$72:$AA$79))*Parameters!$B$37/12</f>
        <v>16442.52466575358</v>
      </c>
      <c r="W81" s="46">
        <f>(SUM($AA$18:$AA$29)-SUM($AA$36,$AA$42,$AA$48,$AA$54,$AA$60,$AA$66,$AA$72:$AA$79))*Parameters!$B$37/12</f>
        <v>16442.52466575358</v>
      </c>
      <c r="X81" s="46">
        <f>(SUM($AA$18:$AA$29)-SUM($AA$36,$AA$42,$AA$48,$AA$54,$AA$60,$AA$66,$AA$72:$AA$79))*Parameters!$B$37/12</f>
        <v>16442.52466575358</v>
      </c>
      <c r="Y81" s="46">
        <f>(SUM($AA$18:$AA$29)-SUM($AA$36,$AA$42,$AA$48,$AA$54,$AA$60,$AA$66,$AA$72:$AA$79))*Parameters!$B$37/12</f>
        <v>16442.52466575358</v>
      </c>
      <c r="Z81" s="46">
        <f>SUMIF($B$13:$Y$13,"Yes",B81:Y81)</f>
        <v>230195.3453205502</v>
      </c>
      <c r="AA81" s="46">
        <f>SUM(B81:M81)</f>
        <v>197310.2959890431</v>
      </c>
      <c r="AB81" s="46">
        <f>SUM(B81:Y81)</f>
        <v>394620.5919780861</v>
      </c>
    </row>
    <row r="82" spans="1:30">
      <c r="A82" s="16" t="s">
        <v>52</v>
      </c>
      <c r="B82" s="46">
        <f>SUM(B83:B87)</f>
        <v>34726.53846153846</v>
      </c>
      <c r="C82" s="46">
        <f>SUM(C83:C87)</f>
        <v>7803.461538461539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42530</v>
      </c>
      <c r="AA82" s="46">
        <f>SUM(B82:M82)</f>
        <v>42530</v>
      </c>
      <c r="AB82" s="46">
        <f>SUM(B82:Y82)</f>
        <v>42530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34726.53846153846</v>
      </c>
      <c r="C83" s="46">
        <f>IF(Calculations!$E23&gt;COUNT(Output!$B$35:C$35),Calculations!$B23,IF(Calculations!$E23=COUNT(Output!$B$35:C$35),Inputs!$B56-Calculations!$C23*(Calculations!$E23-1)+Calculations!$D23,0))</f>
        <v>7803.461538461539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42530</v>
      </c>
      <c r="AA83" s="46">
        <f>SUM(B83:M83)</f>
        <v>42530</v>
      </c>
      <c r="AB83" s="46">
        <f>SUM(B83:Y83)</f>
        <v>42530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72626.42538710825</v>
      </c>
      <c r="C88" s="19">
        <f>SUM(C72:C82,C66,C60,C54,C48,C42,C36)</f>
        <v>36903.34846403133</v>
      </c>
      <c r="D88" s="19">
        <f>SUM(D72:D82,D66,D60,D54,D48,D42,D36)</f>
        <v>30191.946919654</v>
      </c>
      <c r="E88" s="19">
        <f>SUM(E72:E82,E66,E60,E54,E48,E42,E36)</f>
        <v>27155.88692556979</v>
      </c>
      <c r="F88" s="19">
        <f>SUM(F72:F82,F66,F60,F54,F48,F42,F36)</f>
        <v>31402.88692556979</v>
      </c>
      <c r="G88" s="19">
        <f>SUM(G72:G82,G66,G60,G54,G48,G42,G36)</f>
        <v>25859.88692556979</v>
      </c>
      <c r="H88" s="19">
        <f>SUM(H72:H82,H66,H60,H54,H48,H42,H36)</f>
        <v>33899.88692556979</v>
      </c>
      <c r="I88" s="19">
        <f>SUM(I72:I82,I66,I60,I54,I48,I42,I36)</f>
        <v>29099.88692556979</v>
      </c>
      <c r="J88" s="19">
        <f>SUM(J72:J82,J66,J60,J54,J48,J42,J36)</f>
        <v>30191.946919654</v>
      </c>
      <c r="K88" s="19">
        <f>SUM(K72:K82,K66,K60,K54,K48,K42,K36)</f>
        <v>27155.88692556979</v>
      </c>
      <c r="L88" s="19">
        <f>SUM(L72:L82,L66,L60,L54,L48,L42,L36)</f>
        <v>31402.88692556979</v>
      </c>
      <c r="M88" s="19">
        <f>SUM(M72:M82,M66,M60,M54,M48,M42,M36)</f>
        <v>25859.88692556979</v>
      </c>
      <c r="N88" s="19">
        <f>SUM(N72:N82,N66,N60,N54,N48,N42,N36)</f>
        <v>37899.88692556979</v>
      </c>
      <c r="O88" s="19">
        <f>SUM(O72:O82,O66,O60,O54,O48,O42,O36)</f>
        <v>29099.88692556979</v>
      </c>
      <c r="P88" s="19">
        <f>SUM(P72:P82,P66,P60,P54,P48,P42,P36)</f>
        <v>30191.946919654</v>
      </c>
      <c r="Q88" s="19">
        <f>SUM(Q72:Q82,Q66,Q60,Q54,Q48,Q42,Q36)</f>
        <v>27155.88692556979</v>
      </c>
      <c r="R88" s="19">
        <f>SUM(R72:R82,R66,R60,R54,R48,R42,R36)</f>
        <v>31402.88692556979</v>
      </c>
      <c r="S88" s="19">
        <f>SUM(S72:S82,S66,S60,S54,S48,S42,S36)</f>
        <v>25859.88692556979</v>
      </c>
      <c r="T88" s="19">
        <f>SUM(T72:T82,T66,T60,T54,T48,T42,T36)</f>
        <v>33899.88692556979</v>
      </c>
      <c r="U88" s="19">
        <f>SUM(U72:U82,U66,U60,U54,U48,U42,U36)</f>
        <v>29099.88692556979</v>
      </c>
      <c r="V88" s="19">
        <f>SUM(V72:V82,V66,V60,V54,V48,V42,V36)</f>
        <v>30191.946919654</v>
      </c>
      <c r="W88" s="19">
        <f>SUM(W72:W82,W66,W60,W54,W48,W42,W36)</f>
        <v>27155.88692556979</v>
      </c>
      <c r="X88" s="19">
        <f>SUM(X72:X82,X66,X60,X54,X48,X42,X36)</f>
        <v>31402.88692556979</v>
      </c>
      <c r="Y88" s="19">
        <f>SUM(Y72:Y82,Y66,Y60,Y54,Y48,Y42,Y36)</f>
        <v>25859.88692556979</v>
      </c>
      <c r="Z88" s="19">
        <f>SUMIF($B$13:$Y$13,"Yes",B88:Y88)</f>
        <v>468750.5369461455</v>
      </c>
      <c r="AA88" s="19">
        <f>SUM(B88:M88)</f>
        <v>401750.7630950059</v>
      </c>
      <c r="AB88" s="19">
        <f>SUM(B88:Y88)</f>
        <v>760971.5261900115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24300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44000000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44769300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40000</v>
      </c>
    </row>
    <row r="105" spans="1:30">
      <c r="A105" t="s">
        <v>70</v>
      </c>
      <c r="B105" s="36">
        <f>SUM(Inputs!B56:B60)</f>
        <v>40000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100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99</v>
      </c>
      <c r="B10" s="16" t="s">
        <v>101</v>
      </c>
      <c r="C10" s="143">
        <v>1</v>
      </c>
      <c r="D10" s="16">
        <v>500</v>
      </c>
      <c r="E10" s="147" t="s">
        <v>90</v>
      </c>
      <c r="F10" s="149" t="s">
        <v>91</v>
      </c>
      <c r="G10" s="147"/>
      <c r="H10" s="147" t="s">
        <v>92</v>
      </c>
      <c r="I10" s="147" t="s">
        <v>100</v>
      </c>
      <c r="J10" s="148" t="s">
        <v>98</v>
      </c>
      <c r="K10" s="138" t="s">
        <v>102</v>
      </c>
      <c r="L10" s="16">
        <v>10</v>
      </c>
      <c r="M10" s="165">
        <v>100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/>
      <c r="L19" s="25"/>
    </row>
    <row r="20" spans="1:48">
      <c r="A20" s="143" t="s">
        <v>118</v>
      </c>
      <c r="B20" s="16"/>
      <c r="C20" s="143">
        <v>3</v>
      </c>
      <c r="D20" s="147"/>
      <c r="E20" s="16"/>
      <c r="F20" s="147" t="s">
        <v>92</v>
      </c>
      <c r="G20" s="16"/>
      <c r="H20" s="16"/>
      <c r="I20" s="147" t="s">
        <v>117</v>
      </c>
      <c r="J20" s="147"/>
      <c r="K20" s="147"/>
      <c r="L20" s="30"/>
    </row>
    <row r="21" spans="1:48">
      <c r="A21" s="144" t="s">
        <v>119</v>
      </c>
      <c r="B21" s="23"/>
      <c r="C21" s="144">
        <v>20</v>
      </c>
      <c r="D21" s="150">
        <v>5</v>
      </c>
      <c r="E21" s="23"/>
      <c r="F21" s="150" t="s">
        <v>92</v>
      </c>
      <c r="G21" s="23"/>
      <c r="H21" s="23"/>
      <c r="I21" s="150" t="s">
        <v>117</v>
      </c>
      <c r="J21" s="150">
        <v>100</v>
      </c>
      <c r="K21" s="150">
        <v>0</v>
      </c>
      <c r="L21" s="31">
        <v>6</v>
      </c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10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34000</v>
      </c>
    </row>
    <row r="31" spans="1:48">
      <c r="A31" s="5" t="s">
        <v>126</v>
      </c>
      <c r="B31" s="158">
        <v>4000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80000</v>
      </c>
    </row>
    <row r="46" spans="1:48" customHeight="1" ht="30">
      <c r="A46" s="57" t="s">
        <v>140</v>
      </c>
      <c r="B46" s="161">
        <v>0</v>
      </c>
    </row>
    <row r="47" spans="1:48" customHeight="1" ht="30">
      <c r="A47" s="57" t="s">
        <v>141</v>
      </c>
      <c r="B47" s="161">
        <v>120000</v>
      </c>
    </row>
    <row r="48" spans="1:48" customHeight="1" ht="30">
      <c r="A48" s="57" t="s">
        <v>142</v>
      </c>
      <c r="B48" s="161">
        <v>100000</v>
      </c>
    </row>
    <row r="49" spans="1:48" customHeight="1" ht="30">
      <c r="A49" s="57" t="s">
        <v>143</v>
      </c>
      <c r="B49" s="161">
        <v>24300</v>
      </c>
    </row>
    <row r="50" spans="1:48">
      <c r="A50" s="43"/>
      <c r="B50" s="36"/>
    </row>
    <row r="51" spans="1:48">
      <c r="A51" s="58" t="s">
        <v>144</v>
      </c>
      <c r="B51" s="161">
        <v>40000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69000</v>
      </c>
      <c r="B56" s="159">
        <v>40000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17000</v>
      </c>
      <c r="B57" s="157">
        <v>0</v>
      </c>
      <c r="C57" s="164" t="s">
        <v>155</v>
      </c>
      <c r="D57" s="165" t="s">
        <v>156</v>
      </c>
      <c r="E57" s="165" t="s">
        <v>92</v>
      </c>
      <c r="F57" s="165" t="s">
        <v>157</v>
      </c>
    </row>
    <row r="58" spans="1:48">
      <c r="A58" s="157">
        <v>90000</v>
      </c>
      <c r="B58" s="157">
        <v>0</v>
      </c>
      <c r="C58" s="164" t="s">
        <v>158</v>
      </c>
      <c r="D58" s="165" t="s">
        <v>156</v>
      </c>
      <c r="E58" s="165" t="s">
        <v>92</v>
      </c>
      <c r="F58" s="165" t="s">
        <v>159</v>
      </c>
    </row>
    <row r="59" spans="1:48">
      <c r="A59" s="157">
        <v>6000</v>
      </c>
      <c r="B59" s="157">
        <v>0</v>
      </c>
      <c r="C59" s="164" t="s">
        <v>160</v>
      </c>
      <c r="D59" s="165" t="s">
        <v>161</v>
      </c>
      <c r="E59" s="165" t="s">
        <v>92</v>
      </c>
      <c r="F59" s="165" t="s">
        <v>162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164</v>
      </c>
      <c r="C65" s="10" t="s">
        <v>165</v>
      </c>
    </row>
    <row r="66" spans="1:48">
      <c r="A66" s="142" t="s">
        <v>166</v>
      </c>
      <c r="B66" s="159">
        <v>94327</v>
      </c>
      <c r="C66" s="163">
        <v>84975</v>
      </c>
      <c r="D66" s="49">
        <f>INDEX(Parameters!$D$79:$D$90,MATCH(Inputs!A66,Parameters!$C$79:$C$90,0))</f>
        <v>5</v>
      </c>
    </row>
    <row r="67" spans="1:48">
      <c r="A67" s="143" t="s">
        <v>167</v>
      </c>
      <c r="B67" s="157">
        <v>100760</v>
      </c>
      <c r="C67" s="165">
        <v>91632</v>
      </c>
      <c r="D67" s="49">
        <f>INDEX(Parameters!$D$79:$D$90,MATCH(Inputs!A67,Parameters!$C$79:$C$90,0))</f>
        <v>4</v>
      </c>
    </row>
    <row r="68" spans="1:48">
      <c r="A68" s="143" t="s">
        <v>168</v>
      </c>
      <c r="B68" s="157">
        <v>84117</v>
      </c>
      <c r="C68" s="165">
        <v>83677</v>
      </c>
      <c r="D68" s="49">
        <f>INDEX(Parameters!$D$79:$D$90,MATCH(Inputs!A68,Parameters!$C$79:$C$90,0))</f>
        <v>3</v>
      </c>
    </row>
    <row r="69" spans="1:48">
      <c r="A69" s="143" t="s">
        <v>169</v>
      </c>
      <c r="B69" s="157">
        <v>62727</v>
      </c>
      <c r="C69" s="165">
        <v>53594</v>
      </c>
      <c r="D69" s="49">
        <f>INDEX(Parameters!$D$79:$D$90,MATCH(Inputs!A69,Parameters!$C$79:$C$90,0))</f>
        <v>2</v>
      </c>
    </row>
    <row r="70" spans="1:48">
      <c r="A70" s="143" t="s">
        <v>170</v>
      </c>
      <c r="B70" s="157">
        <v>48800</v>
      </c>
      <c r="C70" s="165">
        <v>30700</v>
      </c>
      <c r="D70" s="49">
        <f>INDEX(Parameters!$D$79:$D$90,MATCH(Inputs!A70,Parameters!$C$79:$C$90,0))</f>
        <v>1</v>
      </c>
    </row>
    <row r="71" spans="1:48">
      <c r="A71" s="144" t="s">
        <v>94</v>
      </c>
      <c r="B71" s="158">
        <v>120930</v>
      </c>
      <c r="C71" s="167">
        <v>118320</v>
      </c>
      <c r="D71" s="49">
        <f>INDEX(Parameters!$D$79:$D$90,MATCH(Inputs!A71,Parameters!$C$79:$C$90,0))</f>
        <v>12</v>
      </c>
    </row>
    <row r="73" spans="1:48">
      <c r="A73" s="3" t="s">
        <v>171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172</v>
      </c>
      <c r="B75" s="161">
        <v>16</v>
      </c>
    </row>
    <row r="76" spans="1:48">
      <c r="A76" t="s">
        <v>173</v>
      </c>
      <c r="B76" s="168" t="s">
        <v>174</v>
      </c>
    </row>
    <row r="78" spans="1:48" customHeight="1" ht="20.25">
      <c r="B78" s="127" t="s">
        <v>175</v>
      </c>
    </row>
    <row r="79" spans="1:48">
      <c r="A79" t="s">
        <v>176</v>
      </c>
      <c r="B79" s="168" t="s">
        <v>174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177</v>
      </c>
      <c r="B80" s="168" t="s">
        <v>178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179</v>
      </c>
      <c r="B81" s="161">
        <v>150000</v>
      </c>
    </row>
    <row r="82" spans="1:48">
      <c r="A82" t="s">
        <v>180</v>
      </c>
      <c r="B82" s="161">
        <v>20</v>
      </c>
    </row>
    <row r="83" spans="1:48">
      <c r="A83" t="s">
        <v>181</v>
      </c>
      <c r="B83" s="169" t="s">
        <v>182</v>
      </c>
    </row>
    <row r="84" spans="1:48">
      <c r="A84" t="s">
        <v>183</v>
      </c>
      <c r="B84" s="169">
        <v>1</v>
      </c>
    </row>
    <row r="85" spans="1:48">
      <c r="A85" t="s">
        <v>184</v>
      </c>
      <c r="B85" s="169">
        <v>12</v>
      </c>
    </row>
    <row r="86" spans="1:48">
      <c r="A86" t="s">
        <v>185</v>
      </c>
      <c r="B86" s="161"/>
    </row>
    <row r="87" spans="1:48">
      <c r="A87" t="s">
        <v>186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187</v>
      </c>
      <c r="C3" s="15" t="s">
        <v>188</v>
      </c>
      <c r="D3" s="15" t="s">
        <v>189</v>
      </c>
      <c r="E3" s="15" t="s">
        <v>190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198</v>
      </c>
      <c r="N3" s="15" t="s">
        <v>199</v>
      </c>
      <c r="O3" s="15" t="s">
        <v>200</v>
      </c>
      <c r="P3" s="15" t="s">
        <v>201</v>
      </c>
      <c r="Q3" s="32" t="s">
        <v>202</v>
      </c>
      <c r="R3" s="15" t="s">
        <v>203</v>
      </c>
      <c r="S3" s="15" t="s">
        <v>204</v>
      </c>
      <c r="T3" s="15" t="s">
        <v>205</v>
      </c>
      <c r="U3" s="178" t="s">
        <v>87</v>
      </c>
      <c r="V3" s="32" t="s">
        <v>206</v>
      </c>
      <c r="W3" s="32" t="s">
        <v>207</v>
      </c>
      <c r="X3" s="32" t="s">
        <v>208</v>
      </c>
      <c r="Y3" s="32" t="s">
        <v>209</v>
      </c>
      <c r="Z3" s="32" t="s">
        <v>43</v>
      </c>
      <c r="AA3" s="32" t="s">
        <v>210</v>
      </c>
      <c r="AB3" s="32" t="s">
        <v>211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1092.059994084211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150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6982.5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42948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500</v>
      </c>
      <c r="M7" s="30">
        <f>L7*H7</f>
        <v>500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212</v>
      </c>
      <c r="D13" s="15" t="s">
        <v>213</v>
      </c>
      <c r="E13" s="15" t="s">
        <v>214</v>
      </c>
      <c r="F13" s="15" t="s">
        <v>215</v>
      </c>
      <c r="G13" s="15" t="s">
        <v>216</v>
      </c>
      <c r="H13" s="15" t="s">
        <v>217</v>
      </c>
      <c r="I13" s="15" t="s">
        <v>218</v>
      </c>
      <c r="J13" s="15" t="s">
        <v>219</v>
      </c>
      <c r="K13" s="15" t="s">
        <v>220</v>
      </c>
      <c r="L13" s="15" t="s">
        <v>221</v>
      </c>
      <c r="M13" s="178" t="s">
        <v>222</v>
      </c>
      <c r="N13" s="178" t="s">
        <v>223</v>
      </c>
      <c r="O13" s="62" t="s">
        <v>224</v>
      </c>
      <c r="P13" s="62" t="s">
        <v>225</v>
      </c>
      <c r="Q13" s="62" t="s">
        <v>226</v>
      </c>
      <c r="R13" s="62" t="s">
        <v>227</v>
      </c>
      <c r="S13" s="62" t="s">
        <v>228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6899.999999999999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2737.5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900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20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3650</v>
      </c>
      <c r="R16" s="64">
        <f>IFERROR(D16*INDEX(Parameters!$A$22:$P$29,MATCH(Calculations!$A16,Parameters!$A$22:$A$29,0),MATCH(Parameters!$M$22,Parameters!$A$22:$P$22,0)),"")</f>
        <v>170.6666666666667</v>
      </c>
      <c r="S16" s="64">
        <f>IFERROR(D16*INDEX(Parameters!$A$22:$P$29,MATCH(Calculations!$A16,Parameters!$A$22:$A$29,0),MATCH(Parameters!$N$22,Parameters!$A$22:$P$22,0)),"")</f>
        <v>1372.180451127819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229</v>
      </c>
      <c r="C22" s="74" t="s">
        <v>230</v>
      </c>
      <c r="D22" s="74" t="s">
        <v>231</v>
      </c>
      <c r="E22" s="74" t="s">
        <v>232</v>
      </c>
    </row>
    <row r="23" spans="1:52">
      <c r="A23" s="75">
        <f>Inputs!A56</f>
        <v>69000</v>
      </c>
      <c r="B23" s="75">
        <f>SUM(C23:D23)</f>
        <v>34726.53846153846</v>
      </c>
      <c r="C23" s="75">
        <f>IF(Inputs!B56&gt;0,(Inputs!A56-Inputs!B56)/(DATE(YEAR(Inputs!$B$76),MONTH(Inputs!$B$76),DAY(Inputs!$B$76))-DATE(YEAR(Inputs!C56),MONTH(Inputs!C56),DAY(Inputs!C56)))*30,0)</f>
        <v>33461.53846153846</v>
      </c>
      <c r="D23" s="75">
        <f>IF(Inputs!B56&gt;0,Inputs!A56*0.22/12,0)</f>
        <v>1265</v>
      </c>
      <c r="E23" s="75">
        <f>IFERROR(ROUNDUP(Inputs!B56/C23,0),0)</f>
        <v>2</v>
      </c>
    </row>
    <row r="24" spans="1:52">
      <c r="A24" s="46">
        <f>Inputs!A57</f>
        <v>17000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6000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234</v>
      </c>
      <c r="B32" s="129" t="s">
        <v>235</v>
      </c>
      <c r="C32" s="129" t="s">
        <v>236</v>
      </c>
      <c r="D32" s="129" t="s">
        <v>237</v>
      </c>
      <c r="F32" s="132" t="s">
        <v>238</v>
      </c>
      <c r="G32" s="132" t="s">
        <v>239</v>
      </c>
      <c r="I32" s="174" t="s">
        <v>240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43017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176</v>
      </c>
      <c r="G33" s="128">
        <f>IF(Inputs!B79="","",DATE(YEAR(Inputs!B79),MONTH(Inputs!B79),DAY(Inputs!B79)))</f>
        <v>42977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43048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177</v>
      </c>
      <c r="G34" s="128">
        <f>IF(Inputs!B80="","",DATE(YEAR(Inputs!B80),MONTH(Inputs!B80),DAY(Inputs!B80)))</f>
        <v>43017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179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43109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180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43140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241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43168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242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185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43229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186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43260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243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244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43321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245</v>
      </c>
      <c r="C3" s="10" t="s">
        <v>246</v>
      </c>
      <c r="D3" s="10" t="s">
        <v>247</v>
      </c>
      <c r="E3" s="10" t="s">
        <v>248</v>
      </c>
      <c r="F3" s="10" t="s">
        <v>249</v>
      </c>
      <c r="G3" s="10" t="s">
        <v>250</v>
      </c>
      <c r="H3" s="10" t="s">
        <v>251</v>
      </c>
      <c r="I3" s="10" t="s">
        <v>252</v>
      </c>
      <c r="J3" s="10" t="s">
        <v>253</v>
      </c>
      <c r="K3" s="10" t="s">
        <v>254</v>
      </c>
      <c r="L3" s="10" t="s">
        <v>255</v>
      </c>
      <c r="M3" s="10" t="s">
        <v>256</v>
      </c>
      <c r="N3" s="10" t="s">
        <v>257</v>
      </c>
      <c r="O3" s="10" t="s">
        <v>258</v>
      </c>
      <c r="P3" s="10" t="s">
        <v>259</v>
      </c>
      <c r="Q3" s="10" t="s">
        <v>260</v>
      </c>
      <c r="R3" s="10" t="s">
        <v>261</v>
      </c>
      <c r="S3" s="10" t="s">
        <v>262</v>
      </c>
      <c r="T3" s="10" t="s">
        <v>263</v>
      </c>
      <c r="U3" s="10" t="s">
        <v>203</v>
      </c>
      <c r="V3" s="10" t="s">
        <v>201</v>
      </c>
      <c r="W3" s="10" t="s">
        <v>264</v>
      </c>
      <c r="X3" s="10" t="s">
        <v>265</v>
      </c>
      <c r="Y3" s="10" t="s">
        <v>266</v>
      </c>
      <c r="Z3" s="10" t="s">
        <v>267</v>
      </c>
      <c r="AA3" s="10" t="s">
        <v>268</v>
      </c>
      <c r="AB3" s="10" t="s">
        <v>269</v>
      </c>
      <c r="AC3" s="10" t="s">
        <v>270</v>
      </c>
      <c r="AD3" s="10" t="s">
        <v>271</v>
      </c>
      <c r="AE3" s="10" t="s">
        <v>272</v>
      </c>
      <c r="AF3" s="10" t="s">
        <v>273</v>
      </c>
      <c r="AG3" s="10" t="s">
        <v>274</v>
      </c>
      <c r="AH3" s="10" t="s">
        <v>275</v>
      </c>
      <c r="AI3" s="10" t="s">
        <v>276</v>
      </c>
    </row>
    <row r="4" spans="1:36" s="93" customFormat="1">
      <c r="A4" s="93" t="s">
        <v>277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281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290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291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293</v>
      </c>
      <c r="C22" s="10" t="s">
        <v>294</v>
      </c>
      <c r="D22" s="10" t="s">
        <v>295</v>
      </c>
      <c r="E22" s="10" t="s">
        <v>296</v>
      </c>
      <c r="F22" s="10" t="s">
        <v>297</v>
      </c>
      <c r="G22" s="10" t="s">
        <v>298</v>
      </c>
      <c r="H22" s="10" t="s">
        <v>299</v>
      </c>
      <c r="I22" s="10" t="s">
        <v>217</v>
      </c>
      <c r="J22" s="10" t="s">
        <v>300</v>
      </c>
      <c r="K22" s="10" t="s">
        <v>301</v>
      </c>
      <c r="L22" s="10" t="s">
        <v>302</v>
      </c>
      <c r="M22" s="10" t="s">
        <v>303</v>
      </c>
      <c r="N22" s="10" t="s">
        <v>304</v>
      </c>
      <c r="O22" s="10" t="s">
        <v>305</v>
      </c>
      <c r="P22" s="10" t="s">
        <v>306</v>
      </c>
    </row>
    <row r="23" spans="1:36" s="21" customFormat="1">
      <c r="A23" s="21" t="s">
        <v>119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309</v>
      </c>
      <c r="B24" s="21" t="s">
        <v>310</v>
      </c>
      <c r="C24" s="116" t="s">
        <v>279</v>
      </c>
      <c r="D24" s="115" t="s">
        <v>279</v>
      </c>
      <c r="E24" s="106">
        <v>0.05</v>
      </c>
      <c r="F24" s="106">
        <v>0.1</v>
      </c>
      <c r="G24" s="106">
        <v>0.2</v>
      </c>
      <c r="H24" s="116" t="s">
        <v>279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279</v>
      </c>
      <c r="J25" s="72" t="s">
        <v>279</v>
      </c>
      <c r="K25" s="72" t="s">
        <v>279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313</v>
      </c>
      <c r="B26" s="16" t="s">
        <v>310</v>
      </c>
      <c r="C26" s="116" t="s">
        <v>279</v>
      </c>
      <c r="D26" s="115" t="s">
        <v>279</v>
      </c>
      <c r="E26" s="106">
        <v>0.2</v>
      </c>
      <c r="F26" s="106">
        <v>0.7</v>
      </c>
      <c r="G26" s="106">
        <v>2</v>
      </c>
      <c r="H26" s="116" t="s">
        <v>279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118</v>
      </c>
      <c r="B27" s="71" t="s">
        <v>310</v>
      </c>
      <c r="C27" s="116" t="s">
        <v>279</v>
      </c>
      <c r="D27" s="115" t="s">
        <v>279</v>
      </c>
      <c r="E27" s="106">
        <v>0.15</v>
      </c>
      <c r="F27" s="106">
        <v>0.25</v>
      </c>
      <c r="G27" s="106">
        <v>1</v>
      </c>
      <c r="H27" s="116" t="s">
        <v>279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314</v>
      </c>
      <c r="B28" s="71" t="s">
        <v>310</v>
      </c>
      <c r="C28" s="116" t="s">
        <v>279</v>
      </c>
      <c r="D28" s="115" t="s">
        <v>279</v>
      </c>
      <c r="E28" s="106">
        <v>0.15</v>
      </c>
      <c r="F28" s="106">
        <v>0.25</v>
      </c>
      <c r="G28" s="106">
        <v>1</v>
      </c>
      <c r="H28" s="116" t="s">
        <v>279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315</v>
      </c>
      <c r="B29" s="118" t="s">
        <v>310</v>
      </c>
      <c r="C29" s="31" t="s">
        <v>279</v>
      </c>
      <c r="D29" s="31" t="s">
        <v>279</v>
      </c>
      <c r="E29" s="24">
        <v>0.1</v>
      </c>
      <c r="F29" s="24">
        <v>0.2</v>
      </c>
      <c r="G29" s="24">
        <v>0</v>
      </c>
      <c r="H29" s="31" t="s">
        <v>279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316</v>
      </c>
      <c r="B30" s="70" t="s">
        <v>310</v>
      </c>
    </row>
    <row r="31" spans="1:36">
      <c r="H31" s="86"/>
      <c r="I31" s="86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6"/>
    </row>
    <row r="36" spans="1:36">
      <c r="A36" t="s">
        <v>321</v>
      </c>
      <c r="B36" s="72">
        <v>2000</v>
      </c>
      <c r="C36" s="86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324</v>
      </c>
      <c r="C40" s="193"/>
    </row>
    <row r="41" spans="1:36">
      <c r="A41" s="5" t="s">
        <v>104</v>
      </c>
      <c r="B41" s="191" t="s">
        <v>93</v>
      </c>
      <c r="C41" s="191" t="s">
        <v>92</v>
      </c>
    </row>
    <row r="42" spans="1:36">
      <c r="A42" t="s">
        <v>119</v>
      </c>
      <c r="B42" s="72">
        <v>450</v>
      </c>
      <c r="C42" s="72">
        <v>450</v>
      </c>
    </row>
    <row r="43" spans="1:36">
      <c r="A43" t="s">
        <v>309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313</v>
      </c>
      <c r="B45" s="72">
        <v>25000</v>
      </c>
      <c r="C45" s="72">
        <v>50000</v>
      </c>
    </row>
    <row r="46" spans="1:36">
      <c r="A46" t="s">
        <v>118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315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326</v>
      </c>
      <c r="H52" s="12" t="s">
        <v>327</v>
      </c>
      <c r="I52" s="12" t="s">
        <v>137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245</v>
      </c>
      <c r="E53" s="10" t="s">
        <v>204</v>
      </c>
      <c r="F53" s="10" t="s">
        <v>264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182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241</v>
      </c>
      <c r="J76" s="11" t="s">
        <v>360</v>
      </c>
      <c r="K76" s="11" t="s">
        <v>194</v>
      </c>
      <c r="AJ76" s="12"/>
    </row>
    <row r="77" spans="1:36">
      <c r="A77" t="s">
        <v>92</v>
      </c>
      <c r="B77" s="176">
        <v>0</v>
      </c>
      <c r="C77" s="12" t="s">
        <v>361</v>
      </c>
      <c r="E77" s="12" t="s">
        <v>93</v>
      </c>
      <c r="F77" s="12" t="s">
        <v>93</v>
      </c>
      <c r="G77" s="12" t="s">
        <v>362</v>
      </c>
      <c r="H77" s="12" t="s">
        <v>327</v>
      </c>
      <c r="I77" s="12" t="s">
        <v>363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102</v>
      </c>
      <c r="D78" s="133"/>
      <c r="E78" s="12" t="s">
        <v>97</v>
      </c>
      <c r="F78" s="12" t="s">
        <v>364</v>
      </c>
      <c r="G78" s="12" t="s">
        <v>117</v>
      </c>
      <c r="H78" s="12" t="s">
        <v>137</v>
      </c>
      <c r="I78" s="12" t="s">
        <v>365</v>
      </c>
      <c r="J78" s="70" t="s">
        <v>366</v>
      </c>
      <c r="K78" s="12" t="s">
        <v>93</v>
      </c>
      <c r="AJ78" s="12"/>
    </row>
    <row r="79" spans="1:36">
      <c r="B79" s="176">
        <v>10</v>
      </c>
      <c r="C79" s="12" t="s">
        <v>170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182</v>
      </c>
      <c r="J79" s="70" t="s">
        <v>370</v>
      </c>
      <c r="K79" s="12" t="s">
        <v>93</v>
      </c>
      <c r="AJ79" s="12"/>
    </row>
    <row r="80" spans="1:36">
      <c r="B80" s="176">
        <v>20</v>
      </c>
      <c r="C80" s="12" t="s">
        <v>169</v>
      </c>
      <c r="D80" s="12">
        <f>D79+1</f>
        <v>2</v>
      </c>
      <c r="E80" s="12" t="s">
        <v>91</v>
      </c>
      <c r="F80" s="12" t="s">
        <v>100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168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167</v>
      </c>
      <c r="D82" s="12">
        <f>D81+1</f>
        <v>4</v>
      </c>
      <c r="J82" s="70"/>
    </row>
    <row r="83" spans="1:36">
      <c r="B83" s="176">
        <v>50</v>
      </c>
      <c r="C83" s="12" t="s">
        <v>166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374</v>
      </c>
      <c r="D87" s="12">
        <f>D86+1</f>
        <v>9</v>
      </c>
    </row>
    <row r="88" spans="1:36">
      <c r="B88" s="176">
        <v>99.99999999999999</v>
      </c>
      <c r="C88" s="12" t="s">
        <v>375</v>
      </c>
      <c r="D88" s="12">
        <f>D87+1</f>
        <v>10</v>
      </c>
    </row>
    <row r="89" spans="1:36">
      <c r="C89" s="12" t="s">
        <v>376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