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<sst xmlns="http://schemas.openxmlformats.org/spreadsheetml/2006/main" uniqueCount="369">
  <si>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</si>
  <si>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</si>
  <si>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</si>
  <si>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</si>
  <si>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</si>
  <si>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</si>
  <si>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</si>
  <si>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</si>
  <si>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</si>
  <si>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</si>
  <si>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</si>
  <si>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</si>
  <si>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</si>
  <si>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</si>
  <si>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</si>
  <si>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</si>
  <si>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</si>
  <si>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</si>
  <si>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</si>
  <si>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</si>
  <si>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</si>
  <si>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</si>
  <si>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</si>
  <si>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</si>
  <si>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</si>
  <si>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</si>
  <si>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</si>
  <si>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</si>
  <si>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</si>
  <si>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</si>
  <si>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</si>
  <si>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</si>
  <si>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</si>
  <si>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</si>
  <si>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</si>
  <si>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</si>
  <si>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</si>
  <si>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</si>
  <si>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</si>
  <si>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</si>
  <si>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</si>
  <si>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</si>
  <si>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</si>
  <si>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</si>
  <si>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</si>
  <si>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</si>
  <si>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</si>
  <si>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</si>
  <si>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</si>
  <si>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</si>
  <si>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</si>
  <si>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</si>
  <si>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</si>
  <si>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</si>
  <si>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</si>
  <si>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</si>
  <si>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</si>
  <si>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</si>
  <si>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</si>
  <si>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</si>
  <si>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</si>
  <si>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</si>
  <si>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</si>
  <si>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</si>
  <si>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</si>
  <si>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</si>
  <si>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</si>
  <si>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</si>
  <si>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</si>
  <si>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</si>
  <si>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</si>
  <si>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</si>
  <si>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</si>
  <si>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</si>
  <si>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</si>
  <si>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</si>
  <si>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</si>
  <si>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</si>
  <si>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</si>
  <si>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</si>
  <si>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</si>
  <si>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</si>
  <si>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</si>
  <si>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</si>
  <si>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</si>
  <si>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</si>
  <si>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</si>
  <si>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</si>
  <si>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</si>
  <si>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</si>
  <si>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</si>
  <si>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</si>
  <si>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</si>
  <si>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</si>
  <si>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September</t>
  </si>
  <si>
    <t>Maize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</si>
  <si>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</si>
  <si>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</si>
  <si>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</si>
  <si>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</si>
  <si>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</si>
  <si>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</si>
  <si>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</si>
  <si>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</si>
  <si>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</si>
  <si>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</si>
  <si>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</si>
  <si>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</si>
  <si>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</si>
  <si>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</si>
  <si>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</si>
  <si>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</si>
  <si>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</si>
  <si>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</si>
  <si>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</si>
  <si>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</si>
  <si>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</si>
  <si>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cattle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</si>
  <si>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</si>
  <si>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</si>
  <si>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</si>
  <si>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</si>
  <si>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</si>
  <si>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</si>
  <si>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</si>
  <si>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</si>
  <si>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</si>
  <si>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</si>
  <si>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</si>
  <si>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</si>
  <si>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</si>
  <si>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</si>
  <si>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</si>
  <si>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</si>
  <si>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</si>
  <si>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</si>
  <si>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</si>
  <si>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</si>
  <si>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</si>
  <si>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</si>
  <si>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</si>
  <si>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</si>
  <si>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</si>
  <si>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</si>
  <si>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</si>
  <si>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6/20/2016</t>
  </si>
  <si>
    <t>mkopa</t>
  </si>
  <si>
    <t xml:space="preserve">good loan repayment history 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</si>
  <si>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</si>
  <si>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</si>
  <si>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</si>
  <si>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</si>
  <si>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</si>
  <si>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</si>
  <si>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</si>
  <si>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2017/9/5</t>
  </si>
  <si>
    <t>Loan terms</t>
  </si>
  <si>
    <t>Expected disbursement date</t>
  </si>
  <si>
    <t>Expected first repayment date</t>
  </si>
  <si>
    <t>2017/10/5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</si>
  <si>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</si>
  <si>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</si>
  <si>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</si>
  <si>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</si>
  <si>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</si>
  <si>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</si>
  <si>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</si>
  <si>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</si>
  <si>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</si>
  <si>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</si>
  <si>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</si>
  <si>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</si>
  <si>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</si>
  <si>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</si>
  <si>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</si>
  <si>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</si>
  <si>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</si>
  <si>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</si>
  <si>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</si>
  <si>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</si>
  <si>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</si>
  <si>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</si>
  <si>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</si>
  <si>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</si>
  <si>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</si>
  <si>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</si>
  <si>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</si>
  <si>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</si>
  <si>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</si>
  <si>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</si>
  <si>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</si>
  <si>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</si>
  <si>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</si>
  <si>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</si>
  <si>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</si>
  <si>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</si>
  <si>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</si>
  <si>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</si>
  <si>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</si>
  <si>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</si>
  <si>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</si>
  <si>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</si>
  <si>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</si>
  <si>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</si>
  <si>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</si>
  <si>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</si>
  <si>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</si>
  <si>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</si>
  <si>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</si>
  <si>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</si>
  <si>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</si>
  <si>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</si>
  <si>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</si>
  <si>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</si>
  <si>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</si>
  <si>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</si>
  <si>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</si>
  <si>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</si>
  <si>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</si>
  <si>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</si>
  <si>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</si>
  <si>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</si>
  <si>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</si>
  <si>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</si>
  <si>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</si>
  <si>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</si>
  <si>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</si>
  <si>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</si>
  <si>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</si>
  <si>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</si>
  <si>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</si>
  <si>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</si>
  <si>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</si>
  <si>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</si>
  <si>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</si>
  <si>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</si>
  <si>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</si>
  <si>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</si>
  <si>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</si>
  <si>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</si>
  <si>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</si>
  <si>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</si>
  <si>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</si>
  <si>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</si>
  <si>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</si>
  <si>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</si>
  <si>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</si>
  <si>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</si>
  <si>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</si>
  <si>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</si>
  <si>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</si>
  <si>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</si>
  <si>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</si>
  <si>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</si>
  <si>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</si>
  <si>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</si>
  <si>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</si>
  <si>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</si>
  <si>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</si>
  <si>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</si>
  <si>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</si>
  <si>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</si>
  <si>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</si>
  <si>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</si>
  <si>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</si>
  <si>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</si>
  <si>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</si>
  <si>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</si>
  <si>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</si>
  <si>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</si>
  <si>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</si>
  <si>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</si>
  <si>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</si>
  <si>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</si>
  <si>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</si>
  <si>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</si>
  <si>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</si>
  <si>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</si>
  <si>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</si>
  <si>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</si>
  <si>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</si>
  <si>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</si>
  <si>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</si>
  <si>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</si>
  <si>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</si>
  <si>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</si>
  <si>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</si>
  <si>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</si>
  <si>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</si>
  <si>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</si>
  <si>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</si>
  <si>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</si>
  <si>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</si>
  <si>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</si>
  <si>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</si>
  <si>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</si>
  <si>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</si>
  <si>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</si>
  <si>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</si>
  <si>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</si>
  <si>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</si>
  <si>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</si>
  <si>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</si>
  <si>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</si>
  <si>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</si>
  <si>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</si>
  <si>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</si>
  <si>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</si>
  <si>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</si>
  <si>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</si>
  <si>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</si>
  <si>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</si>
  <si>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</si>
  <si>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</si>
  <si>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</si>
  <si>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</si>
  <si>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</si>
  <si>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</si>
  <si>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</si>
  <si>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</si>
  <si>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</si>
  <si>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</si>
  <si>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</si>
  <si>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</si>
  <si>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</si>
  <si>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</si>
  <si>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</si>
  <si>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</si>
  <si>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</si>
  <si>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</si>
  <si>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</si>
  <si>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</si>
  <si>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</si>
  <si>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</si>
  <si>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</si>
  <si>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</si>
  <si>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</si>
  <si>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</si>
  <si>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</si>
  <si>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</si>
  <si>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</si>
  <si>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</si>
  <si>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</si>
  <si>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</si>
  <si>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</si>
  <si>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</si>
  <si>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</si>
  <si>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</si>
  <si>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</si>
  <si>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</si>
  <si>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</si>
  <si>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</si>
  <si>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</si>
  <si>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</si>
  <si>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</si>
  <si>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</si>
  <si>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</si>
  <si>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</si>
  <si>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</si>
  <si>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</si>
  <si>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</si>
  <si>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</si>
  <si>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</si>
  <si>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</si>
  <si>
    <t>July</t>
  </si>
  <si>
    <t>August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</si>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</sst>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cattle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0.2555791271588821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>
        <f>IFERROR(Output!B107/Output!B101,"")</f>
        <v>0.01497122302158273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435287.4483727675</v>
      </c>
    </row>
    <row r="18" spans="1:7">
      <c r="B18" s="1" t="s">
        <v>12</v>
      </c>
      <c r="C18" s="36">
        <f>MIN(Output!B6:M6)</f>
        <v>-118822.8352713497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420614.9013090883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25000</v>
      </c>
    </row>
    <row r="25" spans="1:7">
      <c r="B25" s="1" t="s">
        <v>18</v>
      </c>
      <c r="C25" s="36">
        <f>MAX(Inputs!A56:A60)</f>
        <v>25000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-67346.83527134972</v>
      </c>
      <c r="C6" s="51">
        <f>C30-C88</f>
        <v>-26422.83527134972</v>
      </c>
      <c r="D6" s="51">
        <f>D30-D88</f>
        <v>-26422.83527134972</v>
      </c>
      <c r="E6" s="51">
        <f>E30-E88</f>
        <v>-118822.8352713497</v>
      </c>
      <c r="F6" s="51">
        <f>F30-F88</f>
        <v>-26422.83527134972</v>
      </c>
      <c r="G6" s="51">
        <f>G30-G88</f>
        <v>410256.4613177072</v>
      </c>
      <c r="H6" s="51">
        <f>H30-H88</f>
        <v>-37005.91105327141</v>
      </c>
      <c r="I6" s="51">
        <f>I30-I88</f>
        <v>45053.35899589757</v>
      </c>
      <c r="J6" s="51">
        <f>J30-J88</f>
        <v>-16064.39527996855</v>
      </c>
      <c r="K6" s="51">
        <f>K30-K88</f>
        <v>-106064.3952799686</v>
      </c>
      <c r="L6" s="51">
        <f>L30-L88</f>
        <v>-16064.39527996855</v>
      </c>
      <c r="M6" s="51">
        <f>M30-M88</f>
        <v>420614.9013090883</v>
      </c>
      <c r="N6" s="51">
        <f>N30-N88</f>
        <v>-65765.53813711141</v>
      </c>
      <c r="O6" s="51">
        <f>O30-O88</f>
        <v>-24841.53813711141</v>
      </c>
      <c r="P6" s="51">
        <f>P30-P88</f>
        <v>-24841.53813711141</v>
      </c>
      <c r="Q6" s="51">
        <f>Q30-Q88</f>
        <v>-117241.5381371114</v>
      </c>
      <c r="R6" s="51">
        <f>R30-R88</f>
        <v>-24841.53813711141</v>
      </c>
      <c r="S6" s="51">
        <f>S30-S88</f>
        <v>411837.7584519455</v>
      </c>
      <c r="T6" s="51">
        <f>T30-T88</f>
        <v>-35424.61391903309</v>
      </c>
      <c r="U6" s="51">
        <f>U30-U88</f>
        <v>46105.94572289607</v>
      </c>
      <c r="V6" s="51">
        <f>V30-V88</f>
        <v>-16064.39527996855</v>
      </c>
      <c r="W6" s="51">
        <f>W30-W88</f>
        <v>-106064.3952799686</v>
      </c>
      <c r="X6" s="51">
        <f>X30-X88</f>
        <v>-16064.39527996855</v>
      </c>
      <c r="Y6" s="51">
        <f>Y30-Y88</f>
        <v>420614.9013090883</v>
      </c>
      <c r="Z6" s="51">
        <f>SUMIF($B$13:$Y$13,"Yes",B6:Y6)</f>
        <v>369521.9102356561</v>
      </c>
      <c r="AA6" s="51">
        <f>AA30-AA88</f>
        <v>435287.4483727673</v>
      </c>
      <c r="AB6" s="51">
        <f>AB30-AB88</f>
        <v>882696.5634122014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>
        <f>IF(ISERROR(VLOOKUP(MONTH(F5),Inputs!$D$66:$D$71,1,0)),"",INDEX(Inputs!$B$66:$B$71,MATCH(MONTH(Output!F5),Inputs!$D$66:$D$71,0))-INDEX(Inputs!$C$66:$C$71,MATCH(MONTH(Output!F5),Inputs!$D$66:$D$71,0)))</f>
        <v>0</v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>
        <f>IF(ISERROR(VLOOKUP(MONTH(R5),Inputs!$D$66:$D$71,1,0)),"",INDEX(Inputs!$B$66:$B$71,MATCH(MONTH(Output!R5),Inputs!$D$66:$D$71,0))-INDEX(Inputs!$C$66:$C$71,MATCH(MONTH(Output!R5),Inputs!$D$66:$D$71,0)))</f>
        <v>0</v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32653.16472865028</v>
      </c>
      <c r="C11" s="80">
        <f>C6+C9-C10</f>
        <v>-36422.83527134972</v>
      </c>
      <c r="D11" s="80">
        <f>D6+D9-D10</f>
        <v>-36422.83527134972</v>
      </c>
      <c r="E11" s="80">
        <f>E6+E9-E10</f>
        <v>-128822.8352713497</v>
      </c>
      <c r="F11" s="80">
        <f>F6+F9-F10</f>
        <v>-36422.83527134972</v>
      </c>
      <c r="G11" s="80">
        <f>G6+G9-G10</f>
        <v>400256.4613177072</v>
      </c>
      <c r="H11" s="80">
        <f>H6+H9-H10</f>
        <v>-47005.91105327141</v>
      </c>
      <c r="I11" s="80">
        <f>I6+I9-I10</f>
        <v>35053.35899589757</v>
      </c>
      <c r="J11" s="80">
        <f>J6+J9-J10</f>
        <v>-26064.39527996855</v>
      </c>
      <c r="K11" s="80">
        <f>K6+K9-K10</f>
        <v>-116064.3952799686</v>
      </c>
      <c r="L11" s="80">
        <f>L6+L9-L10</f>
        <v>-26064.39527996855</v>
      </c>
      <c r="M11" s="80">
        <f>M6+M9-M10</f>
        <v>410614.9013090883</v>
      </c>
      <c r="N11" s="80">
        <f>N6+N9-N10</f>
        <v>-75765.53813711141</v>
      </c>
      <c r="O11" s="80">
        <f>O6+O9-O10</f>
        <v>-24841.53813711141</v>
      </c>
      <c r="P11" s="80">
        <f>P6+P9-P10</f>
        <v>-24841.53813711141</v>
      </c>
      <c r="Q11" s="80">
        <f>Q6+Q9-Q10</f>
        <v>-117241.5381371114</v>
      </c>
      <c r="R11" s="80">
        <f>R6+R9-R10</f>
        <v>-24841.53813711141</v>
      </c>
      <c r="S11" s="80">
        <f>S6+S9-S10</f>
        <v>411837.7584519455</v>
      </c>
      <c r="T11" s="80">
        <f>T6+T9-T10</f>
        <v>-35424.61391903309</v>
      </c>
      <c r="U11" s="80">
        <f>U6+U9-U10</f>
        <v>46105.94572289607</v>
      </c>
      <c r="V11" s="80">
        <f>V6+V9-V10</f>
        <v>-16064.39527996855</v>
      </c>
      <c r="W11" s="80">
        <f>W6+W9-W10</f>
        <v>-106064.3952799686</v>
      </c>
      <c r="X11" s="80">
        <f>X6+X9-X10</f>
        <v>-16064.39527996855</v>
      </c>
      <c r="Y11" s="80">
        <f>Y6+Y9-Y10</f>
        <v>420614.9013090883</v>
      </c>
      <c r="Z11" s="85">
        <f>SUMIF($B$13:$Y$13,"Yes",B11:Y11)</f>
        <v>349521.9102356561</v>
      </c>
      <c r="AA11" s="80">
        <f>SUM(B11:M11)</f>
        <v>425287.4483727675</v>
      </c>
      <c r="AB11" s="46">
        <f>SUM(B11:Y11)</f>
        <v>862696.5634122016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1.60505155763187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0.2042331111337274</v>
      </c>
      <c r="H12" s="82">
        <f>IF(H13="Yes",IF(SUM($B$10:H10)/(SUM($B$6:H6)+SUM($B$9:H9))&lt;0,999.99,SUM($B$10:H10)/(SUM($B$6:H6)+SUM($B$9:H9))),"")</f>
        <v>0.288721979696227</v>
      </c>
      <c r="I12" s="82">
        <f>IF(I13="Yes",IF(SUM($B$10:I10)/(SUM($B$6:I6)+SUM($B$9:I9))&lt;0,999.99,SUM($B$10:I10)/(SUM($B$6:I6)+SUM($B$9:I9))),"")</f>
        <v>0.2768267538515798</v>
      </c>
      <c r="J12" s="82">
        <f>IF(J13="Yes",IF(SUM($B$10:J10)/(SUM($B$6:J6)+SUM($B$9:J9))&lt;0,999.99,SUM($B$10:J10)/(SUM($B$6:J6)+SUM($B$9:J9))),"")</f>
        <v>0.3378359294876786</v>
      </c>
      <c r="K12" s="82">
        <f>IF(K13="Yes",IF(SUM($B$10:K10)/(SUM($B$6:K6)+SUM($B$9:K9))&lt;0,999.99,SUM($B$10:K10)/(SUM($B$6:K6)+SUM($B$9:K9))),"")</f>
        <v>0.6884052692882406</v>
      </c>
      <c r="L12" s="82">
        <f>IF(L13="Yes",IF(SUM($B$10:L10)/(SUM($B$6:L6)+SUM($B$9:L9))&lt;0,999.99,SUM($B$10:L10)/(SUM($B$6:L6)+SUM($B$9:L9))),"")</f>
        <v>0.8720483024107653</v>
      </c>
      <c r="M12" s="82">
        <f>IF(M13="Yes",IF(SUM($B$10:M10)/(SUM($B$6:M6)+SUM($B$9:M9))&lt;0,999.99,SUM($B$10:M10)/(SUM($B$6:M6)+SUM($B$9:M9))),"")</f>
        <v>0.2054970657996773</v>
      </c>
      <c r="N12" s="82">
        <f>IF(N13="Yes",IF(SUM($B$10:N10)/(SUM($B$6:N6)+SUM($B$9:N9))&lt;0,999.99,SUM($B$10:N10)/(SUM($B$6:N6)+SUM($B$9:N9))),"")</f>
        <v>0.2555791271588821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436679.2965890569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436679.2965890569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436679.2965890569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436679.2965890569</v>
      </c>
      <c r="Z18" s="36">
        <f>SUMIF($B$13:$Y$13,"Yes",B18:Y18)</f>
        <v>873358.5931781138</v>
      </c>
      <c r="AA18" s="36">
        <f>SUM(B18:M18)</f>
        <v>873358.5931781138</v>
      </c>
      <c r="AB18" s="36">
        <f>SUM(B18:Y18)</f>
        <v>1746717.186356228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51808.61750238719</v>
      </c>
      <c r="I19" s="36">
        <f>U19</f>
        <v>62170.34100286462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51808.61750238719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62170.34100286462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113978.9585052518</v>
      </c>
      <c r="AA19" s="36">
        <f>SUM(B19:M19)</f>
        <v>113978.9585052518</v>
      </c>
      <c r="AB19" s="36">
        <f>SUM(B19:Y19)</f>
        <v>227957.9170105036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69000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19166.66666666667</v>
      </c>
      <c r="C24" s="36">
        <f>IFERROR(Calculations!$P14/12,"")</f>
        <v>19166.66666666667</v>
      </c>
      <c r="D24" s="36">
        <f>IFERROR(Calculations!$P14/12,"")</f>
        <v>19166.66666666667</v>
      </c>
      <c r="E24" s="36">
        <f>IFERROR(Calculations!$P14/12,"")</f>
        <v>19166.66666666667</v>
      </c>
      <c r="F24" s="36">
        <f>IFERROR(Calculations!$P14/12,"")</f>
        <v>19166.66666666667</v>
      </c>
      <c r="G24" s="36">
        <f>IFERROR(Calculations!$P14/12,"")</f>
        <v>19166.66666666667</v>
      </c>
      <c r="H24" s="36">
        <f>IFERROR(Calculations!$P14/12,"")</f>
        <v>19166.66666666667</v>
      </c>
      <c r="I24" s="36">
        <f>IFERROR(Calculations!$P14/12,"")</f>
        <v>19166.66666666667</v>
      </c>
      <c r="J24" s="36">
        <f>IFERROR(Calculations!$P14/12,"")</f>
        <v>19166.66666666667</v>
      </c>
      <c r="K24" s="36">
        <f>IFERROR(Calculations!$P14/12,"")</f>
        <v>19166.66666666667</v>
      </c>
      <c r="L24" s="36">
        <f>IFERROR(Calculations!$P14/12,"")</f>
        <v>19166.66666666667</v>
      </c>
      <c r="M24" s="36">
        <f>IFERROR(Calculations!$P14/12,"")</f>
        <v>19166.66666666667</v>
      </c>
      <c r="N24" s="36">
        <f>IFERROR(Calculations!$P14/12,"")</f>
        <v>19166.66666666667</v>
      </c>
      <c r="O24" s="36">
        <f>IFERROR(Calculations!$P14/12,"")</f>
        <v>19166.66666666667</v>
      </c>
      <c r="P24" s="36">
        <f>IFERROR(Calculations!$P14/12,"")</f>
        <v>19166.66666666667</v>
      </c>
      <c r="Q24" s="36">
        <f>IFERROR(Calculations!$P14/12,"")</f>
        <v>19166.66666666667</v>
      </c>
      <c r="R24" s="36">
        <f>IFERROR(Calculations!$P14/12,"")</f>
        <v>19166.66666666667</v>
      </c>
      <c r="S24" s="36">
        <f>IFERROR(Calculations!$P14/12,"")</f>
        <v>19166.66666666667</v>
      </c>
      <c r="T24" s="36">
        <f>IFERROR(Calculations!$P14/12,"")</f>
        <v>19166.66666666667</v>
      </c>
      <c r="U24" s="36">
        <f>IFERROR(Calculations!$P14/12,"")</f>
        <v>19166.66666666667</v>
      </c>
      <c r="V24" s="36">
        <f>IFERROR(Calculations!$P14/12,"")</f>
        <v>19166.66666666667</v>
      </c>
      <c r="W24" s="36">
        <f>IFERROR(Calculations!$P14/12,"")</f>
        <v>19166.66666666667</v>
      </c>
      <c r="X24" s="36">
        <f>IFERROR(Calculations!$P14/12,"")</f>
        <v>19166.66666666667</v>
      </c>
      <c r="Y24" s="36">
        <f>IFERROR(Calculations!$P14/12,"")</f>
        <v>19166.66666666667</v>
      </c>
      <c r="Z24" s="36">
        <f>SUMIF($B$13:$Y$13,"Yes",B24:Y24)</f>
        <v>249166.6666666666</v>
      </c>
      <c r="AA24" s="36">
        <f>SUM(B24:M24)</f>
        <v>230000</v>
      </c>
      <c r="AB24" s="46">
        <f>SUM(B24:Y24)</f>
        <v>460000.0000000002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3750</v>
      </c>
      <c r="C25" s="36">
        <f>IFERROR(Calculations!$P15/12,"")</f>
        <v>3750</v>
      </c>
      <c r="D25" s="36">
        <f>IFERROR(Calculations!$P15/12,"")</f>
        <v>3750</v>
      </c>
      <c r="E25" s="36">
        <f>IFERROR(Calculations!$P15/12,"")</f>
        <v>3750</v>
      </c>
      <c r="F25" s="36">
        <f>IFERROR(Calculations!$P15/12,"")</f>
        <v>3750</v>
      </c>
      <c r="G25" s="36">
        <f>IFERROR(Calculations!$P15/12,"")</f>
        <v>3750</v>
      </c>
      <c r="H25" s="36">
        <f>IFERROR(Calculations!$P15/12,"")</f>
        <v>3750</v>
      </c>
      <c r="I25" s="36">
        <f>IFERROR(Calculations!$P15/12,"")</f>
        <v>3750</v>
      </c>
      <c r="J25" s="36">
        <f>IFERROR(Calculations!$P15/12,"")</f>
        <v>3750</v>
      </c>
      <c r="K25" s="36">
        <f>IFERROR(Calculations!$P15/12,"")</f>
        <v>3750</v>
      </c>
      <c r="L25" s="36">
        <f>IFERROR(Calculations!$P15/12,"")</f>
        <v>3750</v>
      </c>
      <c r="M25" s="36">
        <f>IFERROR(Calculations!$P15/12,"")</f>
        <v>3750</v>
      </c>
      <c r="N25" s="36">
        <f>IFERROR(Calculations!$P15/12,"")</f>
        <v>3750</v>
      </c>
      <c r="O25" s="36">
        <f>IFERROR(Calculations!$P15/12,"")</f>
        <v>3750</v>
      </c>
      <c r="P25" s="36">
        <f>IFERROR(Calculations!$P15/12,"")</f>
        <v>3750</v>
      </c>
      <c r="Q25" s="36">
        <f>IFERROR(Calculations!$P15/12,"")</f>
        <v>3750</v>
      </c>
      <c r="R25" s="36">
        <f>IFERROR(Calculations!$P15/12,"")</f>
        <v>3750</v>
      </c>
      <c r="S25" s="36">
        <f>IFERROR(Calculations!$P15/12,"")</f>
        <v>3750</v>
      </c>
      <c r="T25" s="36">
        <f>IFERROR(Calculations!$P15/12,"")</f>
        <v>3750</v>
      </c>
      <c r="U25" s="36">
        <f>IFERROR(Calculations!$P15/12,"")</f>
        <v>3750</v>
      </c>
      <c r="V25" s="36">
        <f>IFERROR(Calculations!$P15/12,"")</f>
        <v>3750</v>
      </c>
      <c r="W25" s="36">
        <f>IFERROR(Calculations!$P15/12,"")</f>
        <v>3750</v>
      </c>
      <c r="X25" s="36">
        <f>IFERROR(Calculations!$P15/12,"")</f>
        <v>3750</v>
      </c>
      <c r="Y25" s="36">
        <f>IFERROR(Calculations!$P15/12,"")</f>
        <v>3750</v>
      </c>
      <c r="Z25" s="36">
        <f>SUMIF($B$13:$Y$13,"Yes",B25:Y25)</f>
        <v>48750</v>
      </c>
      <c r="AA25" s="36">
        <f>SUM(B25:M25)</f>
        <v>45000</v>
      </c>
      <c r="AB25" s="46">
        <f>SUM(B25:Y25)</f>
        <v>90000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37916.66666666667</v>
      </c>
      <c r="C30" s="19">
        <f>SUM(C18:C29)</f>
        <v>37916.66666666667</v>
      </c>
      <c r="D30" s="19">
        <f>SUM(D18:D29)</f>
        <v>37916.66666666667</v>
      </c>
      <c r="E30" s="19">
        <f>SUM(E18:E29)</f>
        <v>37916.66666666667</v>
      </c>
      <c r="F30" s="19">
        <f>SUM(F18:F29)</f>
        <v>37916.66666666667</v>
      </c>
      <c r="G30" s="19">
        <f>SUM(G18:G29)</f>
        <v>474595.9632557236</v>
      </c>
      <c r="H30" s="19">
        <f>SUM(H18:H29)</f>
        <v>89725.28416905386</v>
      </c>
      <c r="I30" s="19">
        <f>SUM(I18:I29)</f>
        <v>100087.0076695313</v>
      </c>
      <c r="J30" s="19">
        <f>SUM(J18:J29)</f>
        <v>37916.66666666667</v>
      </c>
      <c r="K30" s="19">
        <f>SUM(K18:K29)</f>
        <v>37916.66666666667</v>
      </c>
      <c r="L30" s="19">
        <f>SUM(L18:L29)</f>
        <v>37916.66666666667</v>
      </c>
      <c r="M30" s="19">
        <f>SUM(M18:M29)</f>
        <v>474595.9632557236</v>
      </c>
      <c r="N30" s="19">
        <f>SUM(N18:N29)</f>
        <v>37916.66666666667</v>
      </c>
      <c r="O30" s="19">
        <f>SUM(O18:O29)</f>
        <v>37916.66666666667</v>
      </c>
      <c r="P30" s="19">
        <f>SUM(P18:P29)</f>
        <v>37916.66666666667</v>
      </c>
      <c r="Q30" s="19">
        <f>SUM(Q18:Q29)</f>
        <v>37916.66666666667</v>
      </c>
      <c r="R30" s="19">
        <f>SUM(R18:R29)</f>
        <v>37916.66666666667</v>
      </c>
      <c r="S30" s="19">
        <f>SUM(S18:S29)</f>
        <v>474595.9632557236</v>
      </c>
      <c r="T30" s="19">
        <f>SUM(T18:T29)</f>
        <v>89725.28416905386</v>
      </c>
      <c r="U30" s="19">
        <f>SUM(U18:U29)</f>
        <v>100087.0076695313</v>
      </c>
      <c r="V30" s="19">
        <f>SUM(V18:V29)</f>
        <v>37916.66666666667</v>
      </c>
      <c r="W30" s="19">
        <f>SUM(W18:W29)</f>
        <v>37916.66666666667</v>
      </c>
      <c r="X30" s="19">
        <f>SUM(X18:X29)</f>
        <v>37916.66666666667</v>
      </c>
      <c r="Y30" s="19">
        <f>SUM(Y18:Y29)</f>
        <v>474595.9632557236</v>
      </c>
      <c r="Z30" s="19">
        <f>SUMIF($B$13:$Y$13,"Yes",B30:Y30)</f>
        <v>1480254.218350032</v>
      </c>
      <c r="AA30" s="19">
        <f>SUM(B30:M30)</f>
        <v>1442337.551683366</v>
      </c>
      <c r="AB30" s="19">
        <f>SUM(B30:Y30)</f>
        <v>2884675.103366731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40924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38500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40924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38500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120348</v>
      </c>
      <c r="AA42" s="36">
        <f>SUM(B42:M42)</f>
        <v>79424</v>
      </c>
      <c r="AB42" s="36">
        <f>SUM(B42:Y42)</f>
        <v>158848</v>
      </c>
    </row>
    <row r="43" spans="1:30" hidden="true" outlineLevel="1">
      <c r="A43" s="181" t="str">
        <f>Calculations!$A$4</f>
        <v>Wheat</v>
      </c>
      <c r="B43" s="36">
        <f>N43</f>
        <v>38500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38500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38500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38500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115500</v>
      </c>
      <c r="AA43" s="36">
        <f>SUM(B43:M43)</f>
        <v>77000</v>
      </c>
      <c r="AB43" s="36">
        <f>SUM(B43:Y43)</f>
        <v>154000</v>
      </c>
    </row>
    <row r="44" spans="1:30" hidden="true" outlineLevel="1">
      <c r="A44" s="181" t="str">
        <f>Calculations!$A$5</f>
        <v>Maize</v>
      </c>
      <c r="B44" s="36">
        <f>N44</f>
        <v>2424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2424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4848.000000000001</v>
      </c>
      <c r="AA44" s="36">
        <f>SUM(B44:M44)</f>
        <v>2424</v>
      </c>
      <c r="AB44" s="36">
        <f>SUM(B44:Y44)</f>
        <v>4848.000000000001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92400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90000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92400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90000</v>
      </c>
      <c r="X48" s="46">
        <f>SUM(X49:X53)</f>
        <v>0</v>
      </c>
      <c r="Y48" s="46">
        <f>SUM(Y49:Y53)</f>
        <v>0</v>
      </c>
      <c r="Z48" s="46">
        <f>SUMIF($B$13:$Y$13,"Yes",B48:Y48)</f>
        <v>182400</v>
      </c>
      <c r="AA48" s="46">
        <f>SUM(B48:M48)</f>
        <v>182400</v>
      </c>
      <c r="AB48" s="46">
        <f>SUM(B48:Y48)</f>
        <v>364800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90000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90000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90000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90000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180000</v>
      </c>
      <c r="AA49" s="46">
        <f>SUM(B49:M49)</f>
        <v>180000</v>
      </c>
      <c r="AB49" s="46">
        <f>SUM(B49:Y49)</f>
        <v>360000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2400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2400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2400</v>
      </c>
      <c r="AA50" s="46">
        <f>SUM(B50:M50)</f>
        <v>2400</v>
      </c>
      <c r="AB50" s="46">
        <f>SUM(B50:Y50)</f>
        <v>4800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23891.69328430888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23891.69328430888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23891.69328430888</v>
      </c>
      <c r="AA54" s="46">
        <f>SUM(B54:M54)</f>
        <v>23891.69328430888</v>
      </c>
      <c r="AB54" s="46">
        <f>SUM(B54:Y54)</f>
        <v>47783.38656861776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23891.69328430888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23891.69328430888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23891.69328430888</v>
      </c>
      <c r="AA56" s="46">
        <f>SUM(B56:M56)</f>
        <v>23891.69328430888</v>
      </c>
      <c r="AB56" s="46">
        <f>SUM(B56:Y56)</f>
        <v>47783.38656861776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24777.14285714286</v>
      </c>
      <c r="C66" s="36">
        <f>O66</f>
        <v>24777.14285714286</v>
      </c>
      <c r="D66" s="36">
        <f>P66</f>
        <v>24777.14285714286</v>
      </c>
      <c r="E66" s="36">
        <f>Q66</f>
        <v>24777.14285714286</v>
      </c>
      <c r="F66" s="36">
        <f>R66</f>
        <v>24777.14285714286</v>
      </c>
      <c r="G66" s="36">
        <f>S66</f>
        <v>24777.14285714286</v>
      </c>
      <c r="H66" s="36">
        <f>T66</f>
        <v>24777.14285714286</v>
      </c>
      <c r="I66" s="36">
        <f>U66</f>
        <v>16000</v>
      </c>
      <c r="J66" s="36">
        <f>V66</f>
        <v>16000</v>
      </c>
      <c r="K66" s="36">
        <f>W66</f>
        <v>16000</v>
      </c>
      <c r="L66" s="36">
        <f>X66</f>
        <v>16000</v>
      </c>
      <c r="M66" s="36">
        <f>Y66</f>
        <v>16000</v>
      </c>
      <c r="N66" s="46">
        <f>SUM(N67:N71)</f>
        <v>24777.14285714286</v>
      </c>
      <c r="O66" s="46">
        <f>SUM(O67:O71)</f>
        <v>24777.14285714286</v>
      </c>
      <c r="P66" s="46">
        <f>SUM(P67:P71)</f>
        <v>24777.14285714286</v>
      </c>
      <c r="Q66" s="46">
        <f>SUM(Q67:Q71)</f>
        <v>24777.14285714286</v>
      </c>
      <c r="R66" s="46">
        <f>SUM(R67:R71)</f>
        <v>24777.14285714286</v>
      </c>
      <c r="S66" s="46">
        <f>SUM(S67:S71)</f>
        <v>24777.14285714286</v>
      </c>
      <c r="T66" s="46">
        <f>SUM(T67:T71)</f>
        <v>24777.14285714286</v>
      </c>
      <c r="U66" s="46">
        <f>SUM(U67:U71)</f>
        <v>16000</v>
      </c>
      <c r="V66" s="46">
        <f>SUM(V67:V71)</f>
        <v>16000</v>
      </c>
      <c r="W66" s="46">
        <f>SUM(W67:W71)</f>
        <v>16000</v>
      </c>
      <c r="X66" s="46">
        <f>SUM(X67:X71)</f>
        <v>16000</v>
      </c>
      <c r="Y66" s="46">
        <f>SUM(Y67:Y71)</f>
        <v>16000</v>
      </c>
      <c r="Z66" s="46">
        <f>SUMIF($B$13:$Y$13,"Yes",B66:Y66)</f>
        <v>278217.1428571428</v>
      </c>
      <c r="AA66" s="46">
        <f>SUM(B66:M66)</f>
        <v>253440</v>
      </c>
      <c r="AB66" s="46">
        <f>SUM(B66:Y66)</f>
        <v>506879.9999999999</v>
      </c>
    </row>
    <row r="67" spans="1:30" hidden="true" outlineLevel="1">
      <c r="A67" s="181" t="str">
        <f>Calculations!$A$4</f>
        <v>Wheat</v>
      </c>
      <c r="B67" s="36">
        <f>N67</f>
        <v>16000</v>
      </c>
      <c r="C67" s="36">
        <f>O67</f>
        <v>16000</v>
      </c>
      <c r="D67" s="36">
        <f>P67</f>
        <v>16000</v>
      </c>
      <c r="E67" s="36">
        <f>Q67</f>
        <v>16000</v>
      </c>
      <c r="F67" s="36">
        <f>R67</f>
        <v>16000</v>
      </c>
      <c r="G67" s="36">
        <f>S67</f>
        <v>16000</v>
      </c>
      <c r="H67" s="36">
        <f>T67</f>
        <v>16000</v>
      </c>
      <c r="I67" s="36">
        <f>U67</f>
        <v>16000</v>
      </c>
      <c r="J67" s="36">
        <f>V67</f>
        <v>16000</v>
      </c>
      <c r="K67" s="36">
        <f>W67</f>
        <v>16000</v>
      </c>
      <c r="L67" s="36">
        <f>X67</f>
        <v>16000</v>
      </c>
      <c r="M67" s="36">
        <f>Y67</f>
        <v>16000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16000</v>
      </c>
      <c r="Z67" s="46">
        <f>SUMIF($B$13:$Y$13,"Yes",B67:Y67)</f>
        <v>208000</v>
      </c>
      <c r="AA67" s="46">
        <f>SUM(B67:M67)</f>
        <v>192000</v>
      </c>
      <c r="AB67" s="46">
        <f>SUM(B67:Y67)</f>
        <v>384000</v>
      </c>
    </row>
    <row r="68" spans="1:30" hidden="true" outlineLevel="1">
      <c r="A68" s="181" t="str">
        <f>Calculations!$A$5</f>
        <v>Maize</v>
      </c>
      <c r="B68" s="36">
        <f>N68</f>
        <v>8777.142857142857</v>
      </c>
      <c r="C68" s="36">
        <f>O68</f>
        <v>8777.142857142857</v>
      </c>
      <c r="D68" s="36">
        <f>P68</f>
        <v>8777.142857142857</v>
      </c>
      <c r="E68" s="36">
        <f>Q68</f>
        <v>8777.142857142857</v>
      </c>
      <c r="F68" s="36">
        <f>R68</f>
        <v>8777.142857142857</v>
      </c>
      <c r="G68" s="36">
        <f>S68</f>
        <v>8777.142857142857</v>
      </c>
      <c r="H68" s="36">
        <f>T68</f>
        <v>8777.142857142857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8777.142857142857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8777.142857142857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8777.142857142857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8777.142857142857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8777.142857142857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8777.142857142857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8777.142857142857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70217.14285714286</v>
      </c>
      <c r="AA68" s="46">
        <f>SUM(B68:M68)</f>
        <v>61439.99999999999</v>
      </c>
      <c r="AB68" s="46">
        <f>SUM(B68:Y68)</f>
        <v>122880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2250</v>
      </c>
      <c r="C75" s="46">
        <f>SUM(Calculations!$R$14:$R$16)/12</f>
        <v>2250</v>
      </c>
      <c r="D75" s="46">
        <f>SUM(Calculations!$R$14:$R$16)/12</f>
        <v>2250</v>
      </c>
      <c r="E75" s="46">
        <f>SUM(Calculations!$R$14:$R$16)/12</f>
        <v>2250</v>
      </c>
      <c r="F75" s="46">
        <f>SUM(Calculations!$R$14:$R$16)/12</f>
        <v>2250</v>
      </c>
      <c r="G75" s="46">
        <f>SUM(Calculations!$R$14:$R$16)/12</f>
        <v>2250</v>
      </c>
      <c r="H75" s="46">
        <f>SUM(Calculations!$R$14:$R$16)/12</f>
        <v>2250</v>
      </c>
      <c r="I75" s="46">
        <f>SUM(Calculations!$R$14:$R$16)/12</f>
        <v>2250</v>
      </c>
      <c r="J75" s="46">
        <f>SUM(Calculations!$R$14:$R$16)/12</f>
        <v>2250</v>
      </c>
      <c r="K75" s="46">
        <f>SUM(Calculations!$R$14:$R$16)/12</f>
        <v>2250</v>
      </c>
      <c r="L75" s="46">
        <f>SUM(Calculations!$R$14:$R$16)/12</f>
        <v>2250</v>
      </c>
      <c r="M75" s="46">
        <f>SUM(Calculations!$R$14:$R$16)/12</f>
        <v>2250</v>
      </c>
      <c r="N75" s="46">
        <f>SUM(Calculations!$R$14:$R$16)/12</f>
        <v>2250</v>
      </c>
      <c r="O75" s="46">
        <f>SUM(Calculations!$R$14:$R$16)/12</f>
        <v>2250</v>
      </c>
      <c r="P75" s="46">
        <f>SUM(Calculations!$R$14:$R$16)/12</f>
        <v>2250</v>
      </c>
      <c r="Q75" s="46">
        <f>SUM(Calculations!$R$14:$R$16)/12</f>
        <v>2250</v>
      </c>
      <c r="R75" s="46">
        <f>SUM(Calculations!$R$14:$R$16)/12</f>
        <v>2250</v>
      </c>
      <c r="S75" s="46">
        <f>SUM(Calculations!$R$14:$R$16)/12</f>
        <v>2250</v>
      </c>
      <c r="T75" s="46">
        <f>SUM(Calculations!$R$14:$R$16)/12</f>
        <v>2250</v>
      </c>
      <c r="U75" s="46">
        <f>SUM(Calculations!$R$14:$R$16)/12</f>
        <v>2250</v>
      </c>
      <c r="V75" s="46">
        <f>SUM(Calculations!$R$14:$R$16)/12</f>
        <v>2250</v>
      </c>
      <c r="W75" s="46">
        <f>SUM(Calculations!$R$14:$R$16)/12</f>
        <v>2250</v>
      </c>
      <c r="X75" s="46">
        <f>SUM(Calculations!$R$14:$R$16)/12</f>
        <v>2250</v>
      </c>
      <c r="Y75" s="46">
        <f>SUM(Calculations!$R$14:$R$16)/12</f>
        <v>2250</v>
      </c>
      <c r="Z75" s="46">
        <f>SUMIF($B$13:$Y$13,"Yes",B75:Y75)</f>
        <v>29250</v>
      </c>
      <c r="AA75" s="46">
        <f>SUM(B75:M75)</f>
        <v>27000</v>
      </c>
      <c r="AB75" s="46">
        <f>SUM(B75:Y75)</f>
        <v>54000</v>
      </c>
    </row>
    <row r="76" spans="1:30">
      <c r="A76" s="16" t="s">
        <v>48</v>
      </c>
      <c r="B76" s="46">
        <f>SUM(Calculations!$S$14:$S$16)/12</f>
        <v>2875</v>
      </c>
      <c r="C76" s="46">
        <f>SUM(Calculations!$S$14:$S$16)/12</f>
        <v>2875</v>
      </c>
      <c r="D76" s="46">
        <f>SUM(Calculations!$S$14:$S$16)/12</f>
        <v>2875</v>
      </c>
      <c r="E76" s="46">
        <f>SUM(Calculations!$S$14:$S$16)/12</f>
        <v>2875</v>
      </c>
      <c r="F76" s="46">
        <f>SUM(Calculations!$S$14:$S$16)/12</f>
        <v>2875</v>
      </c>
      <c r="G76" s="46">
        <f>SUM(Calculations!$S$14:$S$16)/12</f>
        <v>2875</v>
      </c>
      <c r="H76" s="46">
        <f>SUM(Calculations!$S$14:$S$16)/12</f>
        <v>2875</v>
      </c>
      <c r="I76" s="46">
        <f>SUM(Calculations!$S$14:$S$16)/12</f>
        <v>2875</v>
      </c>
      <c r="J76" s="46">
        <f>SUM(Calculations!$S$14:$S$16)/12</f>
        <v>2875</v>
      </c>
      <c r="K76" s="46">
        <f>SUM(Calculations!$S$14:$S$16)/12</f>
        <v>2875</v>
      </c>
      <c r="L76" s="46">
        <f>SUM(Calculations!$S$14:$S$16)/12</f>
        <v>2875</v>
      </c>
      <c r="M76" s="46">
        <f>SUM(Calculations!$S$14:$S$16)/12</f>
        <v>2875</v>
      </c>
      <c r="N76" s="46">
        <f>SUM(Calculations!$S$14:$S$16)/12</f>
        <v>2875</v>
      </c>
      <c r="O76" s="46">
        <f>SUM(Calculations!$S$14:$S$16)/12</f>
        <v>2875</v>
      </c>
      <c r="P76" s="46">
        <f>SUM(Calculations!$S$14:$S$16)/12</f>
        <v>2875</v>
      </c>
      <c r="Q76" s="46">
        <f>SUM(Calculations!$S$14:$S$16)/12</f>
        <v>2875</v>
      </c>
      <c r="R76" s="46">
        <f>SUM(Calculations!$S$14:$S$16)/12</f>
        <v>2875</v>
      </c>
      <c r="S76" s="46">
        <f>SUM(Calculations!$S$14:$S$16)/12</f>
        <v>2875</v>
      </c>
      <c r="T76" s="46">
        <f>SUM(Calculations!$S$14:$S$16)/12</f>
        <v>2875</v>
      </c>
      <c r="U76" s="46">
        <f>SUM(Calculations!$S$14:$S$16)/12</f>
        <v>2875</v>
      </c>
      <c r="V76" s="46">
        <f>SUM(Calculations!$S$14:$S$16)/12</f>
        <v>2875</v>
      </c>
      <c r="W76" s="46">
        <f>SUM(Calculations!$S$14:$S$16)/12</f>
        <v>2875</v>
      </c>
      <c r="X76" s="46">
        <f>SUM(Calculations!$S$14:$S$16)/12</f>
        <v>2875</v>
      </c>
      <c r="Y76" s="46">
        <f>SUM(Calculations!$S$14:$S$16)/12</f>
        <v>2875</v>
      </c>
      <c r="Z76" s="46">
        <f>SUMIF($B$13:$Y$13,"Yes",B76:Y76)</f>
        <v>37375</v>
      </c>
      <c r="AA76" s="46">
        <f>SUM(B76:M76)</f>
        <v>34500</v>
      </c>
      <c r="AB76" s="46">
        <f>SUM(B76:Y76)</f>
        <v>69000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24856.06194663523</v>
      </c>
      <c r="C81" s="46">
        <f>(SUM($AA$18:$AA$29)-SUM($AA$36,$AA$42,$AA$48,$AA$54,$AA$60,$AA$66,$AA$72:$AA$79))*Parameters!$B$37/12</f>
        <v>24856.06194663523</v>
      </c>
      <c r="D81" s="46">
        <f>(SUM($AA$18:$AA$29)-SUM($AA$36,$AA$42,$AA$48,$AA$54,$AA$60,$AA$66,$AA$72:$AA$79))*Parameters!$B$37/12</f>
        <v>24856.06194663523</v>
      </c>
      <c r="E81" s="46">
        <f>(SUM($AA$18:$AA$29)-SUM($AA$36,$AA$42,$AA$48,$AA$54,$AA$60,$AA$66,$AA$72:$AA$79))*Parameters!$B$37/12</f>
        <v>24856.06194663523</v>
      </c>
      <c r="F81" s="46">
        <f>(SUM($AA$18:$AA$29)-SUM($AA$36,$AA$42,$AA$48,$AA$54,$AA$60,$AA$66,$AA$72:$AA$79))*Parameters!$B$37/12</f>
        <v>24856.06194663523</v>
      </c>
      <c r="G81" s="46">
        <f>(SUM($AA$18:$AA$29)-SUM($AA$36,$AA$42,$AA$48,$AA$54,$AA$60,$AA$66,$AA$72:$AA$79))*Parameters!$B$37/12</f>
        <v>24856.06194663523</v>
      </c>
      <c r="H81" s="46">
        <f>(SUM($AA$18:$AA$29)-SUM($AA$36,$AA$42,$AA$48,$AA$54,$AA$60,$AA$66,$AA$72:$AA$79))*Parameters!$B$37/12</f>
        <v>24856.06194663523</v>
      </c>
      <c r="I81" s="46">
        <f>(SUM($AA$18:$AA$29)-SUM($AA$36,$AA$42,$AA$48,$AA$54,$AA$60,$AA$66,$AA$72:$AA$79))*Parameters!$B$37/12</f>
        <v>24856.06194663523</v>
      </c>
      <c r="J81" s="46">
        <f>(SUM($AA$18:$AA$29)-SUM($AA$36,$AA$42,$AA$48,$AA$54,$AA$60,$AA$66,$AA$72:$AA$79))*Parameters!$B$37/12</f>
        <v>24856.06194663523</v>
      </c>
      <c r="K81" s="46">
        <f>(SUM($AA$18:$AA$29)-SUM($AA$36,$AA$42,$AA$48,$AA$54,$AA$60,$AA$66,$AA$72:$AA$79))*Parameters!$B$37/12</f>
        <v>24856.06194663523</v>
      </c>
      <c r="L81" s="46">
        <f>(SUM($AA$18:$AA$29)-SUM($AA$36,$AA$42,$AA$48,$AA$54,$AA$60,$AA$66,$AA$72:$AA$79))*Parameters!$B$37/12</f>
        <v>24856.06194663523</v>
      </c>
      <c r="M81" s="46">
        <f>(SUM($AA$18:$AA$29)-SUM($AA$36,$AA$42,$AA$48,$AA$54,$AA$60,$AA$66,$AA$72:$AA$79))*Parameters!$B$37/12</f>
        <v>24856.06194663523</v>
      </c>
      <c r="N81" s="46">
        <f>(SUM($AA$18:$AA$29)-SUM($AA$36,$AA$42,$AA$48,$AA$54,$AA$60,$AA$66,$AA$72:$AA$79))*Parameters!$B$37/12</f>
        <v>24856.06194663523</v>
      </c>
      <c r="O81" s="46">
        <f>(SUM($AA$18:$AA$29)-SUM($AA$36,$AA$42,$AA$48,$AA$54,$AA$60,$AA$66,$AA$72:$AA$79))*Parameters!$B$37/12</f>
        <v>24856.06194663523</v>
      </c>
      <c r="P81" s="46">
        <f>(SUM($AA$18:$AA$29)-SUM($AA$36,$AA$42,$AA$48,$AA$54,$AA$60,$AA$66,$AA$72:$AA$79))*Parameters!$B$37/12</f>
        <v>24856.06194663523</v>
      </c>
      <c r="Q81" s="46">
        <f>(SUM($AA$18:$AA$29)-SUM($AA$36,$AA$42,$AA$48,$AA$54,$AA$60,$AA$66,$AA$72:$AA$79))*Parameters!$B$37/12</f>
        <v>24856.06194663523</v>
      </c>
      <c r="R81" s="46">
        <f>(SUM($AA$18:$AA$29)-SUM($AA$36,$AA$42,$AA$48,$AA$54,$AA$60,$AA$66,$AA$72:$AA$79))*Parameters!$B$37/12</f>
        <v>24856.06194663523</v>
      </c>
      <c r="S81" s="46">
        <f>(SUM($AA$18:$AA$29)-SUM($AA$36,$AA$42,$AA$48,$AA$54,$AA$60,$AA$66,$AA$72:$AA$79))*Parameters!$B$37/12</f>
        <v>24856.06194663523</v>
      </c>
      <c r="T81" s="46">
        <f>(SUM($AA$18:$AA$29)-SUM($AA$36,$AA$42,$AA$48,$AA$54,$AA$60,$AA$66,$AA$72:$AA$79))*Parameters!$B$37/12</f>
        <v>24856.06194663523</v>
      </c>
      <c r="U81" s="46">
        <f>(SUM($AA$18:$AA$29)-SUM($AA$36,$AA$42,$AA$48,$AA$54,$AA$60,$AA$66,$AA$72:$AA$79))*Parameters!$B$37/12</f>
        <v>24856.06194663523</v>
      </c>
      <c r="V81" s="46">
        <f>(SUM($AA$18:$AA$29)-SUM($AA$36,$AA$42,$AA$48,$AA$54,$AA$60,$AA$66,$AA$72:$AA$79))*Parameters!$B$37/12</f>
        <v>24856.06194663523</v>
      </c>
      <c r="W81" s="46">
        <f>(SUM($AA$18:$AA$29)-SUM($AA$36,$AA$42,$AA$48,$AA$54,$AA$60,$AA$66,$AA$72:$AA$79))*Parameters!$B$37/12</f>
        <v>24856.06194663523</v>
      </c>
      <c r="X81" s="46">
        <f>(SUM($AA$18:$AA$29)-SUM($AA$36,$AA$42,$AA$48,$AA$54,$AA$60,$AA$66,$AA$72:$AA$79))*Parameters!$B$37/12</f>
        <v>24856.06194663523</v>
      </c>
      <c r="Y81" s="46">
        <f>(SUM($AA$18:$AA$29)-SUM($AA$36,$AA$42,$AA$48,$AA$54,$AA$60,$AA$66,$AA$72:$AA$79))*Parameters!$B$37/12</f>
        <v>24856.06194663523</v>
      </c>
      <c r="Z81" s="46">
        <f>SUMIF($B$13:$Y$13,"Yes",B81:Y81)</f>
        <v>323128.805306258</v>
      </c>
      <c r="AA81" s="46">
        <f>SUM(B81:M81)</f>
        <v>298272.7433596227</v>
      </c>
      <c r="AB81" s="46">
        <f>SUM(B81:Y81)</f>
        <v>596545.4867192457</v>
      </c>
    </row>
    <row r="82" spans="1:30">
      <c r="A82" s="16" t="s">
        <v>52</v>
      </c>
      <c r="B82" s="46">
        <f>SUM(B83:B87)</f>
        <v>1581.29713423831</v>
      </c>
      <c r="C82" s="46">
        <f>SUM(C83:C87)</f>
        <v>1581.29713423831</v>
      </c>
      <c r="D82" s="46">
        <f>SUM(D83:D87)</f>
        <v>1581.29713423831</v>
      </c>
      <c r="E82" s="46">
        <f>SUM(E83:E87)</f>
        <v>1581.29713423831</v>
      </c>
      <c r="F82" s="46">
        <f>SUM(F83:F87)</f>
        <v>1581.29713423831</v>
      </c>
      <c r="G82" s="46">
        <f>SUM(G83:G87)</f>
        <v>1581.29713423831</v>
      </c>
      <c r="H82" s="46">
        <f>SUM(H83:H87)</f>
        <v>1581.29713423831</v>
      </c>
      <c r="I82" s="46">
        <f>SUM(I83:I87)</f>
        <v>1052.586726998493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12121.66666666667</v>
      </c>
      <c r="AA82" s="46">
        <f>SUM(B82:M82)</f>
        <v>12121.66666666667</v>
      </c>
      <c r="AB82" s="46">
        <f>SUM(B82:Y82)</f>
        <v>12121.66666666667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1581.29713423831</v>
      </c>
      <c r="C83" s="46">
        <f>IF(Calculations!$E23&gt;COUNT(Output!$B$35:C$35),Calculations!$B23,IF(Calculations!$E23=COUNT(Output!$B$35:C$35),Inputs!$B56-Calculations!$C23*(Calculations!$E23-1)+Calculations!$D23,0))</f>
        <v>1581.29713423831</v>
      </c>
      <c r="D83" s="46">
        <f>IF(Calculations!$E23&gt;COUNT(Output!$B$35:D$35),Calculations!$B23,IF(Calculations!$E23=COUNT(Output!$B$35:D$35),Inputs!$B56-Calculations!$C23*(Calculations!$E23-1)+Calculations!$D23,0))</f>
        <v>1581.29713423831</v>
      </c>
      <c r="E83" s="46">
        <f>IF(Calculations!$E23&gt;COUNT(Output!$B$35:E$35),Calculations!$B23,IF(Calculations!$E23=COUNT(Output!$B$35:E$35),Inputs!$B56-Calculations!$C23*(Calculations!$E23-1)+Calculations!$D23,0))</f>
        <v>1581.29713423831</v>
      </c>
      <c r="F83" s="46">
        <f>IF(Calculations!$E23&gt;COUNT(Output!$B$35:F$35),Calculations!$B23,IF(Calculations!$E23=COUNT(Output!$B$35:F$35),Inputs!$B56-Calculations!$C23*(Calculations!$E23-1)+Calculations!$D23,0))</f>
        <v>1581.29713423831</v>
      </c>
      <c r="G83" s="46">
        <f>IF(Calculations!$E23&gt;COUNT(Output!$B$35:G$35),Calculations!$B23,IF(Calculations!$E23=COUNT(Output!$B$35:G$35),Inputs!$B56-Calculations!$C23*(Calculations!$E23-1)+Calculations!$D23,0))</f>
        <v>1581.29713423831</v>
      </c>
      <c r="H83" s="46">
        <f>IF(Calculations!$E23&gt;COUNT(Output!$B$35:H$35),Calculations!$B23,IF(Calculations!$E23=COUNT(Output!$B$35:H$35),Inputs!$B56-Calculations!$C23*(Calculations!$E23-1)+Calculations!$D23,0))</f>
        <v>1581.29713423831</v>
      </c>
      <c r="I83" s="46">
        <f>IF(Calculations!$E23&gt;COUNT(Output!$B$35:I$35),Calculations!$B23,IF(Calculations!$E23=COUNT(Output!$B$35:I$35),Inputs!$B56-Calculations!$C23*(Calculations!$E23-1)+Calculations!$D23,0))</f>
        <v>1052.586726998493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12121.66666666667</v>
      </c>
      <c r="AA83" s="46">
        <f>SUM(B83:M83)</f>
        <v>12121.66666666667</v>
      </c>
      <c r="AB83" s="46">
        <f>SUM(B83:Y83)</f>
        <v>12121.66666666667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105263.5019380164</v>
      </c>
      <c r="C88" s="19">
        <f>SUM(C72:C82,C66,C60,C54,C48,C42,C36)</f>
        <v>64339.50193801639</v>
      </c>
      <c r="D88" s="19">
        <f>SUM(D72:D82,D66,D60,D54,D48,D42,D36)</f>
        <v>64339.50193801639</v>
      </c>
      <c r="E88" s="19">
        <f>SUM(E72:E82,E66,E60,E54,E48,E42,E36)</f>
        <v>156739.5019380164</v>
      </c>
      <c r="F88" s="19">
        <f>SUM(F72:F82,F66,F60,F54,F48,F42,F36)</f>
        <v>64339.50193801639</v>
      </c>
      <c r="G88" s="19">
        <f>SUM(G72:G82,G66,G60,G54,G48,G42,G36)</f>
        <v>64339.50193801639</v>
      </c>
      <c r="H88" s="19">
        <f>SUM(H72:H82,H66,H60,H54,H48,H42,H36)</f>
        <v>126731.1952223253</v>
      </c>
      <c r="I88" s="19">
        <f>SUM(I72:I82,I66,I60,I54,I48,I42,I36)</f>
        <v>55033.64867363372</v>
      </c>
      <c r="J88" s="19">
        <f>SUM(J72:J82,J66,J60,J54,J48,J42,J36)</f>
        <v>53981.06194663522</v>
      </c>
      <c r="K88" s="19">
        <f>SUM(K72:K82,K66,K60,K54,K48,K42,K36)</f>
        <v>143981.0619466352</v>
      </c>
      <c r="L88" s="19">
        <f>SUM(L72:L82,L66,L60,L54,L48,L42,L36)</f>
        <v>53981.06194663522</v>
      </c>
      <c r="M88" s="19">
        <f>SUM(M72:M82,M66,M60,M54,M48,M42,M36)</f>
        <v>53981.06194663522</v>
      </c>
      <c r="N88" s="19">
        <f>SUM(N72:N82,N66,N60,N54,N48,N42,N36)</f>
        <v>103682.2048037781</v>
      </c>
      <c r="O88" s="19">
        <f>SUM(O72:O82,O66,O60,O54,O48,O42,O36)</f>
        <v>62758.20480377808</v>
      </c>
      <c r="P88" s="19">
        <f>SUM(P72:P82,P66,P60,P54,P48,P42,P36)</f>
        <v>62758.20480377808</v>
      </c>
      <c r="Q88" s="19">
        <f>SUM(Q72:Q82,Q66,Q60,Q54,Q48,Q42,Q36)</f>
        <v>155158.2048037781</v>
      </c>
      <c r="R88" s="19">
        <f>SUM(R72:R82,R66,R60,R54,R48,R42,R36)</f>
        <v>62758.20480377808</v>
      </c>
      <c r="S88" s="19">
        <f>SUM(S72:S82,S66,S60,S54,S48,S42,S36)</f>
        <v>62758.20480377808</v>
      </c>
      <c r="T88" s="19">
        <f>SUM(T72:T82,T66,T60,T54,T48,T42,T36)</f>
        <v>125149.8980880869</v>
      </c>
      <c r="U88" s="19">
        <f>SUM(U72:U82,U66,U60,U54,U48,U42,U36)</f>
        <v>53981.06194663522</v>
      </c>
      <c r="V88" s="19">
        <f>SUM(V72:V82,V66,V60,V54,V48,V42,V36)</f>
        <v>53981.06194663522</v>
      </c>
      <c r="W88" s="19">
        <f>SUM(W72:W82,W66,W60,W54,W48,W42,W36)</f>
        <v>143981.0619466352</v>
      </c>
      <c r="X88" s="19">
        <f>SUM(X72:X82,X66,X60,X54,X48,X42,X36)</f>
        <v>53981.06194663522</v>
      </c>
      <c r="Y88" s="19">
        <f>SUM(Y72:Y82,Y66,Y60,Y54,Y48,Y42,Y36)</f>
        <v>53981.06194663522</v>
      </c>
      <c r="Z88" s="19">
        <f>SUMIF($B$13:$Y$13,"Yes",B88:Y88)</f>
        <v>1110732.308114376</v>
      </c>
      <c r="AA88" s="19">
        <f>SUM(B88:M88)</f>
        <v>1007050.103310598</v>
      </c>
      <c r="AB88" s="19">
        <f>SUM(B88:Y88)</f>
        <v>2001978.539954529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325000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1020000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3850000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7645000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8455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114455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30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45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20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15000</v>
      </c>
    </row>
    <row r="31" spans="1:48">
      <c r="A31" s="5" t="s">
        <v>119</v>
      </c>
      <c r="B31" s="158">
        <v>8000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450000</v>
      </c>
    </row>
    <row r="46" spans="1:48" customHeight="1" ht="30">
      <c r="A46" s="57" t="s">
        <v>133</v>
      </c>
      <c r="B46" s="161">
        <v>350000</v>
      </c>
    </row>
    <row r="47" spans="1:48" customHeight="1" ht="30">
      <c r="A47" s="57" t="s">
        <v>134</v>
      </c>
      <c r="B47" s="161">
        <v>450000</v>
      </c>
    </row>
    <row r="48" spans="1:48" customHeight="1" ht="30">
      <c r="A48" s="57" t="s">
        <v>135</v>
      </c>
      <c r="B48" s="161">
        <v>1200000</v>
      </c>
    </row>
    <row r="49" spans="1:48" customHeight="1" ht="30">
      <c r="A49" s="57" t="s">
        <v>136</v>
      </c>
      <c r="B49" s="161">
        <v>325000</v>
      </c>
    </row>
    <row r="50" spans="1:48">
      <c r="A50" s="43"/>
      <c r="B50" s="36"/>
    </row>
    <row r="51" spans="1:48">
      <c r="A51" s="58" t="s">
        <v>137</v>
      </c>
      <c r="B51" s="161">
        <v>6000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25000</v>
      </c>
      <c r="B56" s="159">
        <v>8455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149</v>
      </c>
      <c r="C65" s="10" t="s">
        <v>150</v>
      </c>
    </row>
    <row r="66" spans="1:48">
      <c r="A66" s="142" t="s">
        <v>151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151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151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151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151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151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15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15995.57862963579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873358.5931781138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38500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120000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43070</v>
      </c>
      <c r="D5" s="39">
        <f>IFERROR(DATE(YEAR(B5),MONTH(B5)+T5,DAY(B5)),"")</f>
        <v>43160</v>
      </c>
      <c r="E5" s="39">
        <f>IFERROR(IF($S5=0,"",IF($S5=2,DATE(YEAR(B5),MONTH(B5)+6,DAY(B5)),IF($S5=1,B5,""))),"")</f>
        <v>42979</v>
      </c>
      <c r="F5" s="39">
        <f>IFERROR(IF($S5=0,"",IF($S5=2,DATE(YEAR(C5),MONTH(C5)+6,DAY(C5)),IF($S5=1,C5,""))),"")</f>
        <v>43070</v>
      </c>
      <c r="G5" s="39">
        <f>IFERROR(IF($S5=0,"",IF($S5=2,DATE(YEAR(D5),MONTH(D5)+6,DAY(D5)),IF($S5=1,D5,""))),"")</f>
        <v>43160</v>
      </c>
      <c r="H5" s="16">
        <f>Inputs!C8</f>
        <v>4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1298.461591538526</v>
      </c>
      <c r="M5" s="30">
        <f>L5*H5</f>
        <v>5193.846366154105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103617.2350047744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1212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1200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11945.84664215444</v>
      </c>
      <c r="AB5" s="34">
        <f>H5*IFERROR(INDEX(Parameters!$A$3:$AI$17,MATCH(Calculations!A5,Parameters!$A$3:$A$17,0),MATCH(Parameters!$O$3,Parameters!$A$3:$AI$3,0)),AVERAGE(Parameters!$O$4:$O$17))*(1-Inputs!$B$25/100)</f>
        <v>38400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30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18000</v>
      </c>
      <c r="S14" s="63">
        <f>IFERROR(D14*INDEX(Parameters!$A$22:$P$29,MATCH(Calculations!$A14,Parameters!$A$22:$A$29,0),MATCH(Parameters!$N$22,Parameters!$A$22:$P$22,0)),"")</f>
        <v>21000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45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9000</v>
      </c>
      <c r="S15" s="64">
        <f>IFERROR(D15*INDEX(Parameters!$A$22:$P$29,MATCH(Calculations!$A15,Parameters!$A$22:$A$29,0),MATCH(Parameters!$N$22,Parameters!$A$22:$P$22,0)),"")</f>
        <v>13500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25000</v>
      </c>
      <c r="B23" s="75">
        <f>SUM(C23:D23)</f>
        <v>1581.29713423831</v>
      </c>
      <c r="C23" s="75">
        <f>IF(Inputs!B56&gt;0,(Inputs!A56-Inputs!B56)/(DATE(YEAR(Inputs!$B$76),MONTH(Inputs!$B$76),DAY(Inputs!$B$76))-DATE(YEAR(Inputs!C56),MONTH(Inputs!C56),DAY(Inputs!C56)))*30,0)</f>
        <v>1122.963800904977</v>
      </c>
      <c r="D23" s="75">
        <f>IF(Inputs!B56&gt;0,Inputs!A56*0.22/12,0)</f>
        <v>458.3333333333333</v>
      </c>
      <c r="E23" s="75">
        <f>IFERROR(ROUNDUP(Inputs!B56/C23,0),0)</f>
        <v>8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43013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43009</v>
      </c>
      <c r="F33" t="s">
        <v>157</v>
      </c>
      <c r="G33" s="128">
        <f>IF(Inputs!B79="","",DATE(YEAR(Inputs!B79),MONTH(Inputs!B79),DAY(Inputs!B79)))</f>
        <v>42983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43044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43040</v>
      </c>
      <c r="F34" t="s">
        <v>158</v>
      </c>
      <c r="G34" s="128">
        <f>IF(Inputs!B80="","",DATE(YEAR(Inputs!B80),MONTH(Inputs!B80),DAY(Inputs!B80)))</f>
        <v>43013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43074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43070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43105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43101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43136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43132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43160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43195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43191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43225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43221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43256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43252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43286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43282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43317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198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309</v>
      </c>
      <c r="H52" s="12" t="s">
        <v>130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226</v>
      </c>
      <c r="E53" s="10" t="s">
        <v>185</v>
      </c>
      <c r="F53" s="10" t="s">
        <v>245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163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222</v>
      </c>
      <c r="J76" s="11" t="s">
        <v>343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111</v>
      </c>
      <c r="H77" s="12" t="s">
        <v>130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163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