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<sst xmlns="http://schemas.openxmlformats.org/spreadsheetml/2006/main" uniqueCount="369">
  <si>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</si>
  <si>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</si>
  <si>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</si>
  <si>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</si>
  <si>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</si>
  <si>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</si>
  <si>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</si>
  <si>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</si>
  <si>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</si>
  <si>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</si>
  <si>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</si>
  <si>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</si>
  <si>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</si>
  <si>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</si>
  <si>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</si>
  <si>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</si>
  <si>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</si>
  <si>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</si>
  <si>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</si>
  <si>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</si>
  <si>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</si>
  <si>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</si>
  <si>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</si>
  <si>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</si>
  <si>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</si>
  <si>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</si>
  <si>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</si>
  <si>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</si>
  <si>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</si>
  <si>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</si>
  <si>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</si>
  <si>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</si>
  <si>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</si>
  <si>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</si>
  <si>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</si>
  <si>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</si>
  <si>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</si>
  <si>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</si>
  <si>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</si>
  <si>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</si>
  <si>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</si>
  <si>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</si>
  <si>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</si>
  <si>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</si>
  <si>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</si>
  <si>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</si>
  <si>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</si>
  <si>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</si>
  <si>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</si>
  <si>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</si>
  <si>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</si>
  <si>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</si>
  <si>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</si>
  <si>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</si>
  <si>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</si>
  <si>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</si>
  <si>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</si>
  <si>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</si>
  <si>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</si>
  <si>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</si>
  <si>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</si>
  <si>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</si>
  <si>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</si>
  <si>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</si>
  <si>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</si>
  <si>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</si>
  <si>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</si>
  <si>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</si>
  <si>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</si>
  <si>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</si>
  <si>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</si>
  <si>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</si>
  <si>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</si>
  <si>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</si>
  <si>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</si>
  <si>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</si>
  <si>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</si>
  <si>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</si>
  <si>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</si>
  <si>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</si>
  <si>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</si>
  <si>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</si>
  <si>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</si>
  <si>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</si>
  <si>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</si>
  <si>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</si>
  <si>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</si>
  <si>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</si>
  <si>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</si>
  <si>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</si>
  <si>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</si>
  <si>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</si>
  <si>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</si>
  <si>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</si>
  <si>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January</t>
  </si>
  <si>
    <t>Cabbages</t>
  </si>
  <si>
    <t>Shop_certified variety</t>
  </si>
  <si>
    <t>Yes both manure and inorganic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</si>
  <si>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</si>
  <si>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</si>
  <si>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</si>
  <si>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</si>
  <si>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</si>
  <si>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</si>
  <si>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</si>
  <si>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</si>
  <si>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</si>
  <si>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</si>
  <si>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</si>
  <si>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</si>
  <si>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</si>
  <si>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</si>
  <si>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</si>
  <si>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</si>
  <si>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</si>
  <si>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</si>
  <si>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</si>
  <si>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</si>
  <si>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</si>
  <si>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</si>
  <si>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</si>
  <si>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</si>
  <si>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</si>
  <si>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</si>
  <si>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</si>
  <si>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</si>
  <si>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</si>
  <si>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</si>
  <si>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</si>
  <si>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</si>
  <si>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</si>
  <si>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</si>
  <si>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</si>
  <si>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</si>
  <si>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</si>
  <si>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</si>
  <si>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</si>
  <si>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</si>
  <si>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</si>
  <si>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</si>
  <si>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</si>
  <si>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</si>
  <si>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</si>
  <si>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</si>
  <si>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</si>
  <si>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</si>
  <si>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3/11/2016</t>
  </si>
  <si>
    <t>Vision Fund</t>
  </si>
  <si>
    <t>group loan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</si>
  <si>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</si>
  <si>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</si>
  <si>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</si>
  <si>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</si>
  <si>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</si>
  <si>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</si>
  <si>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</si>
  <si>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</si>
  <si>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</si>
  <si>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</si>
  <si>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</si>
  <si>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</si>
  <si>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2017/9/5</t>
  </si>
  <si>
    <t>Loan terms</t>
  </si>
  <si>
    <t>Expected disbursement date</t>
  </si>
  <si>
    <t>Expected first repayment date</t>
  </si>
  <si>
    <t>2017/10/5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</si>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</sst>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0.1467431531542551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0.04193548387096774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985536.570498158</v>
      </c>
    </row>
    <row r="18" spans="1:7">
      <c r="B18" s="1" t="s">
        <v>12</v>
      </c>
      <c r="C18" s="36">
        <f>MIN(Output!B6:M6)</f>
        <v>-102678.5058658821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358564.5375637044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-33181.55488548994</v>
      </c>
      <c r="C6" s="51">
        <f>C30-C88</f>
        <v>-3863.554885489939</v>
      </c>
      <c r="D6" s="51">
        <f>D30-D88</f>
        <v>233821.5554626285</v>
      </c>
      <c r="E6" s="51">
        <f>E30-E88</f>
        <v>349015.5179558613</v>
      </c>
      <c r="F6" s="51">
        <f>F30-F88</f>
        <v>-102678.5058658821</v>
      </c>
      <c r="G6" s="51">
        <f>G30-G88</f>
        <v>17321.49413411791</v>
      </c>
      <c r="H6" s="51">
        <f>H30-H88</f>
        <v>-14809.00586588209</v>
      </c>
      <c r="I6" s="51">
        <f>I30-I88</f>
        <v>14508.99413411791</v>
      </c>
      <c r="J6" s="51">
        <f>J30-J88</f>
        <v>252194.1044822364</v>
      </c>
      <c r="K6" s="51">
        <f>K30-K88</f>
        <v>358564.5375637044</v>
      </c>
      <c r="L6" s="51">
        <f>L30-L88</f>
        <v>-102678.5058658821</v>
      </c>
      <c r="M6" s="51">
        <f>M30-M88</f>
        <v>17321.49413411791</v>
      </c>
      <c r="N6" s="51">
        <f>N30-N88</f>
        <v>-14809.00586588209</v>
      </c>
      <c r="O6" s="51">
        <f>O30-O88</f>
        <v>14508.99413411791</v>
      </c>
      <c r="P6" s="51">
        <f>P30-P88</f>
        <v>252194.1044822364</v>
      </c>
      <c r="Q6" s="51">
        <f>Q30-Q88</f>
        <v>358564.5375637044</v>
      </c>
      <c r="R6" s="51">
        <f>R30-R88</f>
        <v>-102678.5058658821</v>
      </c>
      <c r="S6" s="51">
        <f>S30-S88</f>
        <v>17321.49413411791</v>
      </c>
      <c r="T6" s="51">
        <f>T30-T88</f>
        <v>-14809.00586588209</v>
      </c>
      <c r="U6" s="51">
        <f>U30-U88</f>
        <v>14508.99413411791</v>
      </c>
      <c r="V6" s="51">
        <f>V30-V88</f>
        <v>252194.1044822364</v>
      </c>
      <c r="W6" s="51">
        <f>W30-W88</f>
        <v>358564.5375637044</v>
      </c>
      <c r="X6" s="51">
        <f>X30-X88</f>
        <v>-102678.5058658821</v>
      </c>
      <c r="Y6" s="51">
        <f>Y30-Y88</f>
        <v>17321.49413411791</v>
      </c>
      <c r="Z6" s="51">
        <f>SUMIF($B$13:$Y$13,"Yes",B6:Y6)</f>
        <v>2035739.807662982</v>
      </c>
      <c r="AA6" s="51">
        <f>AA30-AA88</f>
        <v>985536.570498158</v>
      </c>
      <c r="AB6" s="51">
        <f>AB30-AB88</f>
        <v>2035739.807662982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</v>
      </c>
      <c r="I7" s="80">
        <f>IF(ISERROR(VLOOKUP(MONTH(I5),Inputs!$D$66:$D$71,1,0)),"",INDEX(Inputs!$B$66:$B$71,MATCH(MONTH(Output!I5),Inputs!$D$66:$D$71,0))-INDEX(Inputs!$C$66:$C$71,MATCH(MONTH(Output!I5),Inputs!$D$66:$D$71,0)))</f>
        <v>8000</v>
      </c>
      <c r="J7" s="80">
        <f>IF(ISERROR(VLOOKUP(MONTH(J5),Inputs!$D$66:$D$71,1,0)),"",INDEX(Inputs!$B$66:$B$71,MATCH(MONTH(Output!J5),Inputs!$D$66:$D$71,0))-INDEX(Inputs!$C$66:$C$71,MATCH(MONTH(Output!J5),Inputs!$D$66:$D$71,0)))</f>
        <v>3000</v>
      </c>
      <c r="K7" s="80">
        <f>IF(ISERROR(VLOOKUP(MONTH(K5),Inputs!$D$66:$D$71,1,0)),"",INDEX(Inputs!$B$66:$B$71,MATCH(MONTH(Output!K5),Inputs!$D$66:$D$71,0))-INDEX(Inputs!$C$66:$C$71,MATCH(MONTH(Output!K5),Inputs!$D$66:$D$71,0)))</f>
        <v>4000</v>
      </c>
      <c r="L7" s="80">
        <f>IF(ISERROR(VLOOKUP(MONTH(L5),Inputs!$D$66:$D$71,1,0)),"",INDEX(Inputs!$B$66:$B$71,MATCH(MONTH(Output!L5),Inputs!$D$66:$D$71,0))-INDEX(Inputs!$C$66:$C$71,MATCH(MONTH(Output!L5),Inputs!$D$66:$D$71,0)))</f>
        <v>2000</v>
      </c>
      <c r="M7" s="80">
        <f>IF(ISERROR(VLOOKUP(MONTH(M5),Inputs!$D$66:$D$71,1,0)),"",INDEX(Inputs!$B$66:$B$71,MATCH(MONTH(Output!M5),Inputs!$D$66:$D$71,0))-INDEX(Inputs!$C$66:$C$71,MATCH(MONTH(Output!M5),Inputs!$D$66:$D$71,0)))</f>
        <v>3100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</v>
      </c>
      <c r="U7" s="80">
        <f>IF(ISERROR(VLOOKUP(MONTH(U5),Inputs!$D$66:$D$71,1,0)),"",INDEX(Inputs!$B$66:$B$71,MATCH(MONTH(Output!U5),Inputs!$D$66:$D$71,0))-INDEX(Inputs!$C$66:$C$71,MATCH(MONTH(Output!U5),Inputs!$D$66:$D$71,0)))</f>
        <v>8000</v>
      </c>
      <c r="V7" s="80">
        <f>IF(ISERROR(VLOOKUP(MONTH(V5),Inputs!$D$66:$D$71,1,0)),"",INDEX(Inputs!$B$66:$B$71,MATCH(MONTH(Output!V5),Inputs!$D$66:$D$71,0))-INDEX(Inputs!$C$66:$C$71,MATCH(MONTH(Output!V5),Inputs!$D$66:$D$71,0)))</f>
        <v>3000</v>
      </c>
      <c r="W7" s="80">
        <f>IF(ISERROR(VLOOKUP(MONTH(W5),Inputs!$D$66:$D$71,1,0)),"",INDEX(Inputs!$B$66:$B$71,MATCH(MONTH(Output!W5),Inputs!$D$66:$D$71,0))-INDEX(Inputs!$C$66:$C$71,MATCH(MONTH(Output!W5),Inputs!$D$66:$D$71,0)))</f>
        <v>4000</v>
      </c>
      <c r="X7" s="80">
        <f>IF(ISERROR(VLOOKUP(MONTH(X5),Inputs!$D$66:$D$71,1,0)),"",INDEX(Inputs!$B$66:$B$71,MATCH(MONTH(Output!X5),Inputs!$D$66:$D$71,0))-INDEX(Inputs!$C$66:$C$71,MATCH(MONTH(Output!X5),Inputs!$D$66:$D$71,0)))</f>
        <v>2000</v>
      </c>
      <c r="Y7" s="80">
        <f>IF(ISERROR(VLOOKUP(MONTH(Y5),Inputs!$D$66:$D$71,1,0)),"",INDEX(Inputs!$B$66:$B$71,MATCH(MONTH(Output!Y5),Inputs!$D$66:$D$71,0))-INDEX(Inputs!$C$66:$C$71,MATCH(MONTH(Output!Y5),Inputs!$D$66:$D$71,0)))</f>
        <v>3100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216818.4451145101</v>
      </c>
      <c r="C11" s="80">
        <f>C6+C9-C10</f>
        <v>-18446.88821882327</v>
      </c>
      <c r="D11" s="80">
        <f>D6+D9-D10</f>
        <v>219238.2221292952</v>
      </c>
      <c r="E11" s="80">
        <f>E6+E9-E10</f>
        <v>334432.184622528</v>
      </c>
      <c r="F11" s="80">
        <f>F6+F9-F10</f>
        <v>-117261.8391992154</v>
      </c>
      <c r="G11" s="80">
        <f>G6+G9-G10</f>
        <v>2738.160800784575</v>
      </c>
      <c r="H11" s="80">
        <f>H6+H9-H10</f>
        <v>-29392.33919921542</v>
      </c>
      <c r="I11" s="80">
        <f>I6+I9-I10</f>
        <v>-74.33919921542474</v>
      </c>
      <c r="J11" s="80">
        <f>J6+J9-J10</f>
        <v>237610.771148903</v>
      </c>
      <c r="K11" s="80">
        <f>K6+K9-K10</f>
        <v>343981.2042303711</v>
      </c>
      <c r="L11" s="80">
        <f>L6+L9-L10</f>
        <v>-117261.8391992154</v>
      </c>
      <c r="M11" s="80">
        <f>M6+M9-M10</f>
        <v>2738.160800784575</v>
      </c>
      <c r="N11" s="80">
        <f>N6+N9-N10</f>
        <v>-29392.33919921542</v>
      </c>
      <c r="O11" s="80">
        <f>O6+O9-O10</f>
        <v>-74.33919921542474</v>
      </c>
      <c r="P11" s="80">
        <f>P6+P9-P10</f>
        <v>237610.771148903</v>
      </c>
      <c r="Q11" s="80">
        <f>Q6+Q9-Q10</f>
        <v>343981.2042303711</v>
      </c>
      <c r="R11" s="80">
        <f>R6+R9-R10</f>
        <v>-117261.8391992154</v>
      </c>
      <c r="S11" s="80">
        <f>S6+S9-S10</f>
        <v>2738.160800784575</v>
      </c>
      <c r="T11" s="80">
        <f>T6+T9-T10</f>
        <v>-29392.33919921542</v>
      </c>
      <c r="U11" s="80">
        <f>U6+U9-U10</f>
        <v>-74.33919921542474</v>
      </c>
      <c r="V11" s="80">
        <f>V6+V9-V10</f>
        <v>237610.771148903</v>
      </c>
      <c r="W11" s="80">
        <f>W6+W9-W10</f>
        <v>343981.2042303711</v>
      </c>
      <c r="X11" s="80">
        <f>X6+X9-X10</f>
        <v>-117261.8391992154</v>
      </c>
      <c r="Y11" s="80">
        <f>Y6+Y9-Y10</f>
        <v>2738.160800784575</v>
      </c>
      <c r="Z11" s="85">
        <f>SUMIF($B$13:$Y$13,"Yes",B11:Y11)</f>
        <v>1950323.140996317</v>
      </c>
      <c r="AA11" s="80">
        <f>SUM(B11:M11)</f>
        <v>1075119.903831492</v>
      </c>
      <c r="AB11" s="46">
        <f>SUM(B11:Y11)</f>
        <v>1950323.140996317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0.06848085675632919</v>
      </c>
      <c r="D12" s="82">
        <f>IF(D13="Yes",IF(SUM($B$10:D10)/(SUM($B$6:D6)+SUM($B$9:D9))&lt;0,999.99,SUM($B$10:D10)/(SUM($B$6:D6)+SUM($B$9:D9))),"")</f>
        <v>0.06528246273483405</v>
      </c>
      <c r="E12" s="82">
        <f>IF(E13="Yes",IF(SUM($B$10:E10)/(SUM($B$6:E6)+SUM($B$9:E9))&lt;0,999.99,SUM($B$10:E10)/(SUM($B$6:E6)+SUM($B$9:E9))),"")</f>
        <v>0.05497667983410139</v>
      </c>
      <c r="F12" s="82">
        <f>IF(F13="Yes",IF(SUM($B$10:F10)/(SUM($B$6:F6)+SUM($B$9:F9))&lt;0,999.99,SUM($B$10:F10)/(SUM($B$6:F6)+SUM($B$9:F9))),"")</f>
        <v>0.08416130530784156</v>
      </c>
      <c r="G12" s="82">
        <f>IF(G13="Yes",IF(SUM($B$10:G10)/(SUM($B$6:G6)+SUM($B$9:G9))&lt;0,999.99,SUM($B$10:G10)/(SUM($B$6:G6)+SUM($B$9:G9))),"")</f>
        <v>0.1026366544467455</v>
      </c>
      <c r="H12" s="82">
        <f>IF(H13="Yes",IF(SUM($B$10:H10)/(SUM($B$6:H6)+SUM($B$9:H9))&lt;0,999.99,SUM($B$10:H10)/(SUM($B$6:H6)+SUM($B$9:H9))),"")</f>
        <v>0.1257859924530875</v>
      </c>
      <c r="I12" s="82">
        <f>IF(I13="Yes",IF(SUM($B$10:I10)/(SUM($B$6:I6)+SUM($B$9:I9))&lt;0,999.99,SUM($B$10:I10)/(SUM($B$6:I6)+SUM($B$9:I9))),"")</f>
        <v>0.1437520217029254</v>
      </c>
      <c r="J12" s="82">
        <f>IF(J13="Yes",IF(SUM($B$10:J10)/(SUM($B$6:J6)+SUM($B$9:J9))&lt;0,999.99,SUM($B$10:J10)/(SUM($B$6:J6)+SUM($B$9:J9))),"")</f>
        <v>0.1212336542405122</v>
      </c>
      <c r="K12" s="82">
        <f>IF(K13="Yes",IF(SUM($B$10:K10)/(SUM($B$6:K6)+SUM($B$9:K9))&lt;0,999.99,SUM($B$10:K10)/(SUM($B$6:K6)+SUM($B$9:K9))),"")</f>
        <v>0.09936455272833164</v>
      </c>
      <c r="L12" s="82">
        <f>IF(L13="Yes",IF(SUM($B$10:L10)/(SUM($B$6:L6)+SUM($B$9:L9))&lt;0,999.99,SUM($B$10:L10)/(SUM($B$6:L6)+SUM($B$9:L9))),"")</f>
        <v>0.1197106620684719</v>
      </c>
      <c r="M12" s="82">
        <f>IF(M13="Yes",IF(SUM($B$10:M10)/(SUM($B$6:M6)+SUM($B$9:M9))&lt;0,999.99,SUM($B$10:M10)/(SUM($B$6:M6)+SUM($B$9:M9))),"")</f>
        <v>0.1298356280963727</v>
      </c>
      <c r="N12" s="82">
        <f>IF(N13="Yes",IF(SUM($B$10:N10)/(SUM($B$6:N6)+SUM($B$9:N9))&lt;0,999.99,SUM($B$10:N10)/(SUM($B$6:N6)+SUM($B$9:N9))),"")</f>
        <v>0.1433571298545355</v>
      </c>
      <c r="O12" s="82">
        <f>IF(O13="Yes",IF(SUM($B$10:O10)/(SUM($B$6:O6)+SUM($B$9:O9))&lt;0,999.99,SUM($B$10:O10)/(SUM($B$6:O6)+SUM($B$9:O9))),"")</f>
        <v>0.1534793736372784</v>
      </c>
      <c r="P12" s="82">
        <f>IF(P13="Yes",IF(SUM($B$10:P10)/(SUM($B$6:P6)+SUM($B$9:P9))&lt;0,999.99,SUM($B$10:P10)/(SUM($B$6:P6)+SUM($B$9:P9))),"")</f>
        <v>0.1372613001138188</v>
      </c>
      <c r="Q12" s="82">
        <f>IF(Q13="Yes",IF(SUM($B$10:Q10)/(SUM($B$6:Q6)+SUM($B$9:Q9))&lt;0,999.99,SUM($B$10:Q10)/(SUM($B$6:Q6)+SUM($B$9:Q9))),"")</f>
        <v>0.1184997663611144</v>
      </c>
      <c r="R12" s="82">
        <f>IF(R13="Yes",IF(SUM($B$10:R10)/(SUM($B$6:R6)+SUM($B$9:R9))&lt;0,999.99,SUM($B$10:R10)/(SUM($B$6:R6)+SUM($B$9:R9))),"")</f>
        <v>0.1338444896499431</v>
      </c>
      <c r="S12" s="82">
        <f>IF(S13="Yes",IF(SUM($B$10:S10)/(SUM($B$6:S6)+SUM($B$9:S9))&lt;0,999.99,SUM($B$10:S10)/(SUM($B$6:S6)+SUM($B$9:S9))),"")</f>
        <v>0.1408106834239079</v>
      </c>
      <c r="T12" s="82">
        <f>IF(T13="Yes",IF(SUM($B$10:T10)/(SUM($B$6:T6)+SUM($B$9:T9))&lt;0,999.99,SUM($B$10:T10)/(SUM($B$6:T6)+SUM($B$9:T9))),"")</f>
        <v>0.1503583526520303</v>
      </c>
      <c r="U12" s="82">
        <f>IF(U13="Yes",IF(SUM($B$10:U10)/(SUM($B$6:U6)+SUM($B$9:U9))&lt;0,999.99,SUM($B$10:U10)/(SUM($B$6:U6)+SUM($B$9:U9))),"")</f>
        <v>0.1574034676397467</v>
      </c>
      <c r="V12" s="82">
        <f>IF(V13="Yes",IF(SUM($B$10:V10)/(SUM($B$6:V6)+SUM($B$9:V9))&lt;0,999.99,SUM($B$10:V10)/(SUM($B$6:V6)+SUM($B$9:V9))),"")</f>
        <v>0.1449252115356393</v>
      </c>
      <c r="W12" s="82">
        <f>IF(W13="Yes",IF(SUM($B$10:W10)/(SUM($B$6:W6)+SUM($B$9:W9))&lt;0,999.99,SUM($B$10:W10)/(SUM($B$6:W6)+SUM($B$9:W9))),"")</f>
        <v>0.1291596351085209</v>
      </c>
      <c r="X12" s="82">
        <f>IF(X13="Yes",IF(SUM($B$10:X10)/(SUM($B$6:X6)+SUM($B$9:X9))&lt;0,999.99,SUM($B$10:X10)/(SUM($B$6:X6)+SUM($B$9:X9))),"")</f>
        <v>0.1414348188867462</v>
      </c>
      <c r="Y12" s="82">
        <f>IF(Y13="Yes",IF(SUM($B$10:Y10)/(SUM($B$6:Y6)+SUM($B$9:Y9))&lt;0,999.99,SUM($B$10:Y10)/(SUM($B$6:Y6)+SUM($B$9:Y9))),"")</f>
        <v>0.1467431531542551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246085.1103481185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246085.1103481185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246085.1103481185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246085.1103481185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984340.441392474</v>
      </c>
      <c r="AA18" s="36">
        <f>SUM(B18:M18)</f>
        <v>492170.220696237</v>
      </c>
      <c r="AB18" s="36">
        <f>SUM(B18:Y18)</f>
        <v>984340.441392474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341055.5434295865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341055.5434295865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341055.5434295865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341055.5434295865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1364222.173718346</v>
      </c>
      <c r="AA19" s="36">
        <f>SUM(B19:M19)</f>
        <v>682111.086859173</v>
      </c>
      <c r="AB19" s="36">
        <f>SUM(B19:Y19)</f>
        <v>1364222.173718346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1089236.842105263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90384.86842105264</v>
      </c>
      <c r="C30" s="19">
        <f>SUM(C18:C29)</f>
        <v>90384.86842105264</v>
      </c>
      <c r="D30" s="19">
        <f>SUM(D18:D29)</f>
        <v>336469.9787691711</v>
      </c>
      <c r="E30" s="19">
        <f>SUM(E18:E29)</f>
        <v>431440.4118506392</v>
      </c>
      <c r="F30" s="19">
        <f>SUM(F18:F29)</f>
        <v>90384.86842105264</v>
      </c>
      <c r="G30" s="19">
        <f>SUM(G18:G29)</f>
        <v>90384.86842105264</v>
      </c>
      <c r="H30" s="19">
        <f>SUM(H18:H29)</f>
        <v>90384.86842105264</v>
      </c>
      <c r="I30" s="19">
        <f>SUM(I18:I29)</f>
        <v>90384.86842105264</v>
      </c>
      <c r="J30" s="19">
        <f>SUM(J18:J29)</f>
        <v>336469.9787691711</v>
      </c>
      <c r="K30" s="19">
        <f>SUM(K18:K29)</f>
        <v>431440.4118506392</v>
      </c>
      <c r="L30" s="19">
        <f>SUM(L18:L29)</f>
        <v>90384.86842105264</v>
      </c>
      <c r="M30" s="19">
        <f>SUM(M18:M29)</f>
        <v>90384.86842105264</v>
      </c>
      <c r="N30" s="19">
        <f>SUM(N18:N29)</f>
        <v>90384.86842105264</v>
      </c>
      <c r="O30" s="19">
        <f>SUM(O18:O29)</f>
        <v>90384.86842105264</v>
      </c>
      <c r="P30" s="19">
        <f>SUM(P18:P29)</f>
        <v>336469.9787691711</v>
      </c>
      <c r="Q30" s="19">
        <f>SUM(Q18:Q29)</f>
        <v>431440.4118506392</v>
      </c>
      <c r="R30" s="19">
        <f>SUM(R18:R29)</f>
        <v>90384.86842105264</v>
      </c>
      <c r="S30" s="19">
        <f>SUM(S18:S29)</f>
        <v>90384.86842105264</v>
      </c>
      <c r="T30" s="19">
        <f>SUM(T18:T29)</f>
        <v>90384.86842105264</v>
      </c>
      <c r="U30" s="19">
        <f>SUM(U18:U29)</f>
        <v>90384.86842105264</v>
      </c>
      <c r="V30" s="19">
        <f>SUM(V18:V29)</f>
        <v>336469.9787691711</v>
      </c>
      <c r="W30" s="19">
        <f>SUM(W18:W29)</f>
        <v>431440.4118506392</v>
      </c>
      <c r="X30" s="19">
        <f>SUM(X18:X29)</f>
        <v>90384.86842105264</v>
      </c>
      <c r="Y30" s="19">
        <f>SUM(Y18:Y29)</f>
        <v>90384.86842105264</v>
      </c>
      <c r="Z30" s="19">
        <f>SUMIF($B$13:$Y$13,"Yes",B30:Y30)</f>
        <v>4517799.457216082</v>
      </c>
      <c r="AA30" s="19">
        <f>SUM(B30:M30)</f>
        <v>2258899.728608042</v>
      </c>
      <c r="AB30" s="19">
        <f>SUM(B30:Y30)</f>
        <v>4517799.457216082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24000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6000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6000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6000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6000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1818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120000</v>
      </c>
      <c r="G42" s="36">
        <f>S42</f>
        <v>0</v>
      </c>
      <c r="H42" s="36">
        <f>T42</f>
        <v>1818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120000</v>
      </c>
      <c r="M42" s="36">
        <f>Y42</f>
        <v>0</v>
      </c>
      <c r="N42" s="36">
        <f>SUM(N43:N47)</f>
        <v>1818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120000</v>
      </c>
      <c r="S42" s="36">
        <f>SUM(S43:S47)</f>
        <v>0</v>
      </c>
      <c r="T42" s="36">
        <f>SUM(T43:T47)</f>
        <v>1818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120000</v>
      </c>
      <c r="Y42" s="36">
        <f>SUM(Y43:Y47)</f>
        <v>0</v>
      </c>
      <c r="Z42" s="36">
        <f>SUMIF($B$13:$Y$13,"Yes",B42:Y42)</f>
        <v>487272</v>
      </c>
      <c r="AA42" s="36">
        <f>SUM(B42:M42)</f>
        <v>243636</v>
      </c>
      <c r="AB42" s="36">
        <f>SUM(B42:Y42)</f>
        <v>487272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120000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120000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120000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120000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 t="str">
        <f>Calculations!$A$5</f>
        <v>Cabbages</v>
      </c>
      <c r="B44" s="36">
        <f>N44</f>
        <v>1818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1818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1818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1818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7272</v>
      </c>
      <c r="AA44" s="36">
        <f>SUM(B44:M44)</f>
        <v>3636</v>
      </c>
      <c r="AB44" s="36">
        <f>SUM(B44:Y44)</f>
        <v>7272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21500</v>
      </c>
      <c r="C48" s="36">
        <f>O48</f>
        <v>0</v>
      </c>
      <c r="D48" s="36">
        <f>P48</f>
        <v>8400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21500</v>
      </c>
      <c r="I48" s="36">
        <f>U48</f>
        <v>0</v>
      </c>
      <c r="J48" s="36">
        <f>V48</f>
        <v>8400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21500</v>
      </c>
      <c r="O48" s="46">
        <f>SUM(O49:O53)</f>
        <v>0</v>
      </c>
      <c r="P48" s="46">
        <f>SUM(P49:P53)</f>
        <v>8400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21500</v>
      </c>
      <c r="U48" s="46">
        <f>SUM(U49:U53)</f>
        <v>0</v>
      </c>
      <c r="V48" s="46">
        <f>SUM(V49:V53)</f>
        <v>8400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119600</v>
      </c>
      <c r="AA48" s="46">
        <f>SUM(B48:M48)</f>
        <v>59800</v>
      </c>
      <c r="AB48" s="46">
        <f>SUM(B48:Y48)</f>
        <v>119600</v>
      </c>
    </row>
    <row r="49" spans="1:30" hidden="true" outlineLevel="1">
      <c r="A49" s="181" t="str">
        <f>Calculations!$A$4</f>
        <v>Potatoes</v>
      </c>
      <c r="B49" s="36">
        <f>N49</f>
        <v>21500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21500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21500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21500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86000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8400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8400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8400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8400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33600</v>
      </c>
      <c r="AA50" s="46">
        <f>SUM(B50:M50)</f>
        <v>16800</v>
      </c>
      <c r="AB50" s="46">
        <f>SUM(B50:Y50)</f>
        <v>33600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5812.5</v>
      </c>
      <c r="C66" s="36">
        <f>O66</f>
        <v>5812.5</v>
      </c>
      <c r="D66" s="36">
        <f>P66</f>
        <v>5812.5</v>
      </c>
      <c r="E66" s="36">
        <f>Q66</f>
        <v>2812.5</v>
      </c>
      <c r="F66" s="36">
        <f>R66</f>
        <v>3000</v>
      </c>
      <c r="G66" s="36">
        <f>S66</f>
        <v>3000</v>
      </c>
      <c r="H66" s="36">
        <f>T66</f>
        <v>5812.5</v>
      </c>
      <c r="I66" s="36">
        <f>U66</f>
        <v>5812.5</v>
      </c>
      <c r="J66" s="36">
        <f>V66</f>
        <v>5812.5</v>
      </c>
      <c r="K66" s="36">
        <f>W66</f>
        <v>2812.5</v>
      </c>
      <c r="L66" s="36">
        <f>X66</f>
        <v>3000</v>
      </c>
      <c r="M66" s="36">
        <f>Y66</f>
        <v>3000</v>
      </c>
      <c r="N66" s="46">
        <f>SUM(N67:N71)</f>
        <v>5812.5</v>
      </c>
      <c r="O66" s="46">
        <f>SUM(O67:O71)</f>
        <v>5812.5</v>
      </c>
      <c r="P66" s="46">
        <f>SUM(P67:P71)</f>
        <v>5812.5</v>
      </c>
      <c r="Q66" s="46">
        <f>SUM(Q67:Q71)</f>
        <v>2812.5</v>
      </c>
      <c r="R66" s="46">
        <f>SUM(R67:R71)</f>
        <v>3000</v>
      </c>
      <c r="S66" s="46">
        <f>SUM(S67:S71)</f>
        <v>3000</v>
      </c>
      <c r="T66" s="46">
        <f>SUM(T67:T71)</f>
        <v>5812.5</v>
      </c>
      <c r="U66" s="46">
        <f>SUM(U67:U71)</f>
        <v>5812.5</v>
      </c>
      <c r="V66" s="46">
        <f>SUM(V67:V71)</f>
        <v>5812.5</v>
      </c>
      <c r="W66" s="46">
        <f>SUM(W67:W71)</f>
        <v>2812.5</v>
      </c>
      <c r="X66" s="46">
        <f>SUM(X67:X71)</f>
        <v>3000</v>
      </c>
      <c r="Y66" s="46">
        <f>SUM(Y67:Y71)</f>
        <v>3000</v>
      </c>
      <c r="Z66" s="46">
        <f>SUMIF($B$13:$Y$13,"Yes",B66:Y66)</f>
        <v>105000</v>
      </c>
      <c r="AA66" s="46">
        <f>SUM(B66:M66)</f>
        <v>52500</v>
      </c>
      <c r="AB66" s="46">
        <f>SUM(B66:Y66)</f>
        <v>105000</v>
      </c>
    </row>
    <row r="67" spans="1:30" hidden="true" outlineLevel="1">
      <c r="A67" s="181" t="str">
        <f>Calculations!$A$4</f>
        <v>Potatoes</v>
      </c>
      <c r="B67" s="36">
        <f>N67</f>
        <v>3000</v>
      </c>
      <c r="C67" s="36">
        <f>O67</f>
        <v>3000</v>
      </c>
      <c r="D67" s="36">
        <f>P67</f>
        <v>3000</v>
      </c>
      <c r="E67" s="36">
        <f>Q67</f>
        <v>0</v>
      </c>
      <c r="F67" s="36">
        <f>R67</f>
        <v>3000</v>
      </c>
      <c r="G67" s="36">
        <f>S67</f>
        <v>3000</v>
      </c>
      <c r="H67" s="36">
        <f>T67</f>
        <v>3000</v>
      </c>
      <c r="I67" s="36">
        <f>U67</f>
        <v>3000</v>
      </c>
      <c r="J67" s="36">
        <f>V67</f>
        <v>3000</v>
      </c>
      <c r="K67" s="36">
        <f>W67</f>
        <v>0</v>
      </c>
      <c r="L67" s="36">
        <f>X67</f>
        <v>3000</v>
      </c>
      <c r="M67" s="36">
        <f>Y67</f>
        <v>3000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3000</v>
      </c>
      <c r="Z67" s="46">
        <f>SUMIF($B$13:$Y$13,"Yes",B67:Y67)</f>
        <v>60000</v>
      </c>
      <c r="AA67" s="46">
        <f>SUM(B67:M67)</f>
        <v>30000</v>
      </c>
      <c r="AB67" s="46">
        <f>SUM(B67:Y67)</f>
        <v>60000</v>
      </c>
    </row>
    <row r="68" spans="1:30" hidden="true" outlineLevel="1">
      <c r="A68" s="181" t="str">
        <f>Calculations!$A$5</f>
        <v>Cabbages</v>
      </c>
      <c r="B68" s="36">
        <f>N68</f>
        <v>2812.5</v>
      </c>
      <c r="C68" s="36">
        <f>O68</f>
        <v>2812.5</v>
      </c>
      <c r="D68" s="36">
        <f>P68</f>
        <v>2812.5</v>
      </c>
      <c r="E68" s="36">
        <f>Q68</f>
        <v>2812.5</v>
      </c>
      <c r="F68" s="36">
        <f>R68</f>
        <v>0</v>
      </c>
      <c r="G68" s="36">
        <f>S68</f>
        <v>0</v>
      </c>
      <c r="H68" s="36">
        <f>T68</f>
        <v>2812.5</v>
      </c>
      <c r="I68" s="36">
        <f>U68</f>
        <v>2812.5</v>
      </c>
      <c r="J68" s="36">
        <f>V68</f>
        <v>2812.5</v>
      </c>
      <c r="K68" s="36">
        <f>W68</f>
        <v>2812.5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2812.5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2812.5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2812.5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2812.5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2812.5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2812.5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2812.5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2812.5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45000</v>
      </c>
      <c r="AA68" s="46">
        <f>SUM(B68:M68)</f>
        <v>22500</v>
      </c>
      <c r="AB68" s="46">
        <f>SUM(B68:Y68)</f>
        <v>45000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91249.99999999999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10000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60000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120000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58344.62428693473</v>
      </c>
      <c r="C81" s="46">
        <f>(SUM($AA$18:$AA$29)-SUM($AA$36,$AA$42,$AA$48,$AA$54,$AA$60,$AA$66,$AA$72:$AA$79))*Parameters!$B$37/12</f>
        <v>58344.62428693473</v>
      </c>
      <c r="D81" s="46">
        <f>(SUM($AA$18:$AA$29)-SUM($AA$36,$AA$42,$AA$48,$AA$54,$AA$60,$AA$66,$AA$72:$AA$79))*Parameters!$B$37/12</f>
        <v>58344.62428693473</v>
      </c>
      <c r="E81" s="46">
        <f>(SUM($AA$18:$AA$29)-SUM($AA$36,$AA$42,$AA$48,$AA$54,$AA$60,$AA$66,$AA$72:$AA$79))*Parameters!$B$37/12</f>
        <v>58344.62428693473</v>
      </c>
      <c r="F81" s="46">
        <f>(SUM($AA$18:$AA$29)-SUM($AA$36,$AA$42,$AA$48,$AA$54,$AA$60,$AA$66,$AA$72:$AA$79))*Parameters!$B$37/12</f>
        <v>58344.62428693473</v>
      </c>
      <c r="G81" s="46">
        <f>(SUM($AA$18:$AA$29)-SUM($AA$36,$AA$42,$AA$48,$AA$54,$AA$60,$AA$66,$AA$72:$AA$79))*Parameters!$B$37/12</f>
        <v>58344.62428693473</v>
      </c>
      <c r="H81" s="46">
        <f>(SUM($AA$18:$AA$29)-SUM($AA$36,$AA$42,$AA$48,$AA$54,$AA$60,$AA$66,$AA$72:$AA$79))*Parameters!$B$37/12</f>
        <v>58344.62428693473</v>
      </c>
      <c r="I81" s="46">
        <f>(SUM($AA$18:$AA$29)-SUM($AA$36,$AA$42,$AA$48,$AA$54,$AA$60,$AA$66,$AA$72:$AA$79))*Parameters!$B$37/12</f>
        <v>58344.62428693473</v>
      </c>
      <c r="J81" s="46">
        <f>(SUM($AA$18:$AA$29)-SUM($AA$36,$AA$42,$AA$48,$AA$54,$AA$60,$AA$66,$AA$72:$AA$79))*Parameters!$B$37/12</f>
        <v>58344.62428693473</v>
      </c>
      <c r="K81" s="46">
        <f>(SUM($AA$18:$AA$29)-SUM($AA$36,$AA$42,$AA$48,$AA$54,$AA$60,$AA$66,$AA$72:$AA$79))*Parameters!$B$37/12</f>
        <v>58344.62428693473</v>
      </c>
      <c r="L81" s="46">
        <f>(SUM($AA$18:$AA$29)-SUM($AA$36,$AA$42,$AA$48,$AA$54,$AA$60,$AA$66,$AA$72:$AA$79))*Parameters!$B$37/12</f>
        <v>58344.62428693473</v>
      </c>
      <c r="M81" s="46">
        <f>(SUM($AA$18:$AA$29)-SUM($AA$36,$AA$42,$AA$48,$AA$54,$AA$60,$AA$66,$AA$72:$AA$79))*Parameters!$B$37/12</f>
        <v>58344.62428693473</v>
      </c>
      <c r="N81" s="46">
        <f>(SUM($AA$18:$AA$29)-SUM($AA$36,$AA$42,$AA$48,$AA$54,$AA$60,$AA$66,$AA$72:$AA$79))*Parameters!$B$37/12</f>
        <v>58344.62428693473</v>
      </c>
      <c r="O81" s="46">
        <f>(SUM($AA$18:$AA$29)-SUM($AA$36,$AA$42,$AA$48,$AA$54,$AA$60,$AA$66,$AA$72:$AA$79))*Parameters!$B$37/12</f>
        <v>58344.62428693473</v>
      </c>
      <c r="P81" s="46">
        <f>(SUM($AA$18:$AA$29)-SUM($AA$36,$AA$42,$AA$48,$AA$54,$AA$60,$AA$66,$AA$72:$AA$79))*Parameters!$B$37/12</f>
        <v>58344.62428693473</v>
      </c>
      <c r="Q81" s="46">
        <f>(SUM($AA$18:$AA$29)-SUM($AA$36,$AA$42,$AA$48,$AA$54,$AA$60,$AA$66,$AA$72:$AA$79))*Parameters!$B$37/12</f>
        <v>58344.62428693473</v>
      </c>
      <c r="R81" s="46">
        <f>(SUM($AA$18:$AA$29)-SUM($AA$36,$AA$42,$AA$48,$AA$54,$AA$60,$AA$66,$AA$72:$AA$79))*Parameters!$B$37/12</f>
        <v>58344.62428693473</v>
      </c>
      <c r="S81" s="46">
        <f>(SUM($AA$18:$AA$29)-SUM($AA$36,$AA$42,$AA$48,$AA$54,$AA$60,$AA$66,$AA$72:$AA$79))*Parameters!$B$37/12</f>
        <v>58344.62428693473</v>
      </c>
      <c r="T81" s="46">
        <f>(SUM($AA$18:$AA$29)-SUM($AA$36,$AA$42,$AA$48,$AA$54,$AA$60,$AA$66,$AA$72:$AA$79))*Parameters!$B$37/12</f>
        <v>58344.62428693473</v>
      </c>
      <c r="U81" s="46">
        <f>(SUM($AA$18:$AA$29)-SUM($AA$36,$AA$42,$AA$48,$AA$54,$AA$60,$AA$66,$AA$72:$AA$79))*Parameters!$B$37/12</f>
        <v>58344.62428693473</v>
      </c>
      <c r="V81" s="46">
        <f>(SUM($AA$18:$AA$29)-SUM($AA$36,$AA$42,$AA$48,$AA$54,$AA$60,$AA$66,$AA$72:$AA$79))*Parameters!$B$37/12</f>
        <v>58344.62428693473</v>
      </c>
      <c r="W81" s="46">
        <f>(SUM($AA$18:$AA$29)-SUM($AA$36,$AA$42,$AA$48,$AA$54,$AA$60,$AA$66,$AA$72:$AA$79))*Parameters!$B$37/12</f>
        <v>58344.62428693473</v>
      </c>
      <c r="X81" s="46">
        <f>(SUM($AA$18:$AA$29)-SUM($AA$36,$AA$42,$AA$48,$AA$54,$AA$60,$AA$66,$AA$72:$AA$79))*Parameters!$B$37/12</f>
        <v>58344.62428693473</v>
      </c>
      <c r="Y81" s="46">
        <f>(SUM($AA$18:$AA$29)-SUM($AA$36,$AA$42,$AA$48,$AA$54,$AA$60,$AA$66,$AA$72:$AA$79))*Parameters!$B$37/12</f>
        <v>58344.62428693473</v>
      </c>
      <c r="Z81" s="46">
        <f>SUMIF($B$13:$Y$13,"Yes",B81:Y81)</f>
        <v>1400270.982886433</v>
      </c>
      <c r="AA81" s="46">
        <f>SUM(B81:M81)</f>
        <v>700135.4914432167</v>
      </c>
      <c r="AB81" s="46">
        <f>SUM(B81:Y81)</f>
        <v>1400270.982886433</v>
      </c>
    </row>
    <row r="82" spans="1:30">
      <c r="A82" s="16" t="s">
        <v>52</v>
      </c>
      <c r="B82" s="46">
        <f>SUM(B83:B87)</f>
        <v>18372.54901960784</v>
      </c>
      <c r="C82" s="46">
        <f>SUM(C83:C87)</f>
        <v>18372.54901960784</v>
      </c>
      <c r="D82" s="46">
        <f>SUM(D83:D87)</f>
        <v>18372.54901960784</v>
      </c>
      <c r="E82" s="46">
        <f>SUM(E83:E87)</f>
        <v>9549.019607843135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64666.66666666666</v>
      </c>
      <c r="AA82" s="46">
        <f>SUM(B82:M82)</f>
        <v>64666.66666666666</v>
      </c>
      <c r="AB82" s="46">
        <f>SUM(B82:Y82)</f>
        <v>64666.66666666666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18372.54901960784</v>
      </c>
      <c r="C83" s="46">
        <f>IF(Calculations!$E23&gt;COUNT(Output!$B$35:C$35),Calculations!$B23,IF(Calculations!$E23=COUNT(Output!$B$35:C$35),Inputs!$B56-Calculations!$C23*(Calculations!$E23-1)+Calculations!$D23,0))</f>
        <v>18372.54901960784</v>
      </c>
      <c r="D83" s="46">
        <f>IF(Calculations!$E23&gt;COUNT(Output!$B$35:D$35),Calculations!$B23,IF(Calculations!$E23=COUNT(Output!$B$35:D$35),Inputs!$B56-Calculations!$C23*(Calculations!$E23-1)+Calculations!$D23,0))</f>
        <v>18372.54901960784</v>
      </c>
      <c r="E83" s="46">
        <f>IF(Calculations!$E23&gt;COUNT(Output!$B$35:E$35),Calculations!$B23,IF(Calculations!$E23=COUNT(Output!$B$35:E$35),Inputs!$B56-Calculations!$C23*(Calculations!$E23-1)+Calculations!$D23,0))</f>
        <v>9549.019607843135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64666.66666666666</v>
      </c>
      <c r="AA83" s="46">
        <f>SUM(B83:M83)</f>
        <v>64666.66666666666</v>
      </c>
      <c r="AB83" s="46">
        <f>SUM(B83:Y83)</f>
        <v>64666.66666666666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123566.4233065426</v>
      </c>
      <c r="C88" s="19">
        <f>SUM(C72:C82,C66,C60,C54,C48,C42,C36)</f>
        <v>94248.42330654258</v>
      </c>
      <c r="D88" s="19">
        <f>SUM(D72:D82,D66,D60,D54,D48,D42,D36)</f>
        <v>102648.4233065426</v>
      </c>
      <c r="E88" s="19">
        <f>SUM(E72:E82,E66,E60,E54,E48,E42,E36)</f>
        <v>82424.89389477787</v>
      </c>
      <c r="F88" s="19">
        <f>SUM(F72:F82,F66,F60,F54,F48,F42,F36)</f>
        <v>193063.3742869347</v>
      </c>
      <c r="G88" s="19">
        <f>SUM(G72:G82,G66,G60,G54,G48,G42,G36)</f>
        <v>73063.37428693473</v>
      </c>
      <c r="H88" s="19">
        <f>SUM(H72:H82,H66,H60,H54,H48,H42,H36)</f>
        <v>105193.8742869347</v>
      </c>
      <c r="I88" s="19">
        <f>SUM(I72:I82,I66,I60,I54,I48,I42,I36)</f>
        <v>75875.87428693473</v>
      </c>
      <c r="J88" s="19">
        <f>SUM(J72:J82,J66,J60,J54,J48,J42,J36)</f>
        <v>84275.87428693473</v>
      </c>
      <c r="K88" s="19">
        <f>SUM(K72:K82,K66,K60,K54,K48,K42,K36)</f>
        <v>72875.87428693473</v>
      </c>
      <c r="L88" s="19">
        <f>SUM(L72:L82,L66,L60,L54,L48,L42,L36)</f>
        <v>193063.3742869347</v>
      </c>
      <c r="M88" s="19">
        <f>SUM(M72:M82,M66,M60,M54,M48,M42,M36)</f>
        <v>73063.37428693473</v>
      </c>
      <c r="N88" s="19">
        <f>SUM(N72:N82,N66,N60,N54,N48,N42,N36)</f>
        <v>105193.8742869347</v>
      </c>
      <c r="O88" s="19">
        <f>SUM(O72:O82,O66,O60,O54,O48,O42,O36)</f>
        <v>75875.87428693473</v>
      </c>
      <c r="P88" s="19">
        <f>SUM(P72:P82,P66,P60,P54,P48,P42,P36)</f>
        <v>84275.87428693473</v>
      </c>
      <c r="Q88" s="19">
        <f>SUM(Q72:Q82,Q66,Q60,Q54,Q48,Q42,Q36)</f>
        <v>72875.87428693473</v>
      </c>
      <c r="R88" s="19">
        <f>SUM(R72:R82,R66,R60,R54,R48,R42,R36)</f>
        <v>193063.3742869347</v>
      </c>
      <c r="S88" s="19">
        <f>SUM(S72:S82,S66,S60,S54,S48,S42,S36)</f>
        <v>73063.37428693473</v>
      </c>
      <c r="T88" s="19">
        <f>SUM(T72:T82,T66,T60,T54,T48,T42,T36)</f>
        <v>105193.8742869347</v>
      </c>
      <c r="U88" s="19">
        <f>SUM(U72:U82,U66,U60,U54,U48,U42,U36)</f>
        <v>75875.87428693473</v>
      </c>
      <c r="V88" s="19">
        <f>SUM(V72:V82,V66,V60,V54,V48,V42,V36)</f>
        <v>84275.87428693473</v>
      </c>
      <c r="W88" s="19">
        <f>SUM(W72:W82,W66,W60,W54,W48,W42,W36)</f>
        <v>72875.87428693473</v>
      </c>
      <c r="X88" s="19">
        <f>SUM(X72:X82,X66,X60,X54,X48,X42,X36)</f>
        <v>193063.3742869347</v>
      </c>
      <c r="Y88" s="19">
        <f>SUM(Y72:Y82,Y66,Y60,Y54,Y48,Y42,Y36)</f>
        <v>73063.37428693473</v>
      </c>
      <c r="Z88" s="19">
        <f>SUMIF($B$13:$Y$13,"Yes",B88:Y88)</f>
        <v>2482059.649553101</v>
      </c>
      <c r="AA88" s="19">
        <f>SUM(B88:M88)</f>
        <v>1273363.158109884</v>
      </c>
      <c r="AB88" s="19">
        <f>SUM(B88:Y88)</f>
        <v>2482059.649553101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760000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2800000</v>
      </c>
    </row>
    <row r="98" spans="1:30">
      <c r="A98" t="s">
        <v>64</v>
      </c>
      <c r="B98" s="36">
        <f>IF(Inputs!B44="Yes",Inputs!B45,0)</f>
        <v>465000</v>
      </c>
    </row>
    <row r="99" spans="1:30">
      <c r="A99" t="s">
        <v>65</v>
      </c>
      <c r="B99" s="36">
        <f>Inputs!B46</f>
        <v>850000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7440000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50000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312000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 t="s">
        <v>112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113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45000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465000</v>
      </c>
    </row>
    <row r="46" spans="1:48" customHeight="1" ht="30">
      <c r="A46" s="57" t="s">
        <v>134</v>
      </c>
      <c r="B46" s="161">
        <v>850000</v>
      </c>
    </row>
    <row r="47" spans="1:48" customHeight="1" ht="30">
      <c r="A47" s="57" t="s">
        <v>135</v>
      </c>
      <c r="B47" s="161">
        <v>760000</v>
      </c>
    </row>
    <row r="48" spans="1:48" customHeight="1" ht="30">
      <c r="A48" s="57" t="s">
        <v>136</v>
      </c>
      <c r="B48" s="161">
        <v>1500000</v>
      </c>
    </row>
    <row r="49" spans="1:48" customHeight="1" ht="30">
      <c r="A49" s="57" t="s">
        <v>137</v>
      </c>
      <c r="B49" s="161">
        <v>65000</v>
      </c>
    </row>
    <row r="50" spans="1:48">
      <c r="A50" s="43"/>
      <c r="B50" s="36"/>
    </row>
    <row r="51" spans="1:48">
      <c r="A51" s="58" t="s">
        <v>138</v>
      </c>
      <c r="B51" s="161">
        <v>12000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200000</v>
      </c>
      <c r="B56" s="159">
        <v>50000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182000</v>
      </c>
      <c r="C66" s="163">
        <v>178900</v>
      </c>
      <c r="D66" s="49">
        <f>INDEX(Parameters!$D$79:$D$90,MATCH(Inputs!A66,Parameters!$C$79:$C$90,0))</f>
        <v>8</v>
      </c>
    </row>
    <row r="67" spans="1:48">
      <c r="A67" s="143" t="s">
        <v>153</v>
      </c>
      <c r="B67" s="157">
        <v>121000</v>
      </c>
      <c r="C67" s="165">
        <v>119000</v>
      </c>
      <c r="D67" s="49">
        <f>INDEX(Parameters!$D$79:$D$90,MATCH(Inputs!A67,Parameters!$C$79:$C$90,0))</f>
        <v>7</v>
      </c>
    </row>
    <row r="68" spans="1:48">
      <c r="A68" s="143" t="s">
        <v>154</v>
      </c>
      <c r="B68" s="157">
        <v>19000</v>
      </c>
      <c r="C68" s="165">
        <v>15000</v>
      </c>
      <c r="D68" s="49">
        <f>INDEX(Parameters!$D$79:$D$90,MATCH(Inputs!A68,Parameters!$C$79:$C$90,0))</f>
        <v>6</v>
      </c>
    </row>
    <row r="69" spans="1:48">
      <c r="A69" s="143" t="s">
        <v>155</v>
      </c>
      <c r="B69" s="157">
        <v>161000</v>
      </c>
      <c r="C69" s="165">
        <v>158000</v>
      </c>
      <c r="D69" s="49">
        <f>INDEX(Parameters!$D$79:$D$90,MATCH(Inputs!A69,Parameters!$C$79:$C$90,0))</f>
        <v>5</v>
      </c>
    </row>
    <row r="70" spans="1:48">
      <c r="A70" s="143" t="s">
        <v>156</v>
      </c>
      <c r="B70" s="157">
        <v>953000</v>
      </c>
      <c r="C70" s="165">
        <v>945000</v>
      </c>
      <c r="D70" s="49">
        <f>INDEX(Parameters!$D$79:$D$90,MATCH(Inputs!A70,Parameters!$C$79:$C$90,0))</f>
        <v>4</v>
      </c>
    </row>
    <row r="71" spans="1:48">
      <c r="A71" s="144" t="s">
        <v>157</v>
      </c>
      <c r="B71" s="158">
        <v>61000</v>
      </c>
      <c r="C71" s="167">
        <v>59000</v>
      </c>
      <c r="D71" s="49">
        <f>INDEX(Parameters!$D$79:$D$90,MATCH(Inputs!A71,Parameters!$C$79:$C$90,0))</f>
        <v>3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250000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24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24413.20539167842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492170.220696237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43070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43252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27067.90027218941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682111.086859173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1818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8400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22500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200000</v>
      </c>
      <c r="B23" s="75">
        <f>SUM(C23:D23)</f>
        <v>18372.54901960784</v>
      </c>
      <c r="C23" s="75">
        <f>IF(Inputs!B56&gt;0,(Inputs!A56-Inputs!B56)/(DATE(YEAR(Inputs!$B$76),MONTH(Inputs!$B$76),DAY(Inputs!$B$76))-DATE(YEAR(Inputs!C56),MONTH(Inputs!C56),DAY(Inputs!C56)))*30,0)</f>
        <v>14705.88235294118</v>
      </c>
      <c r="D23" s="75">
        <f>IF(Inputs!B56&gt;0,Inputs!A56*0.22/12,0)</f>
        <v>3666.666666666667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43013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43009</v>
      </c>
      <c r="F33" t="s">
        <v>163</v>
      </c>
      <c r="G33" s="128">
        <f>IF(Inputs!B79="","",DATE(YEAR(Inputs!B79),MONTH(Inputs!B79),DAY(Inputs!B79)))</f>
        <v>42983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43044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43040</v>
      </c>
      <c r="F34" t="s">
        <v>164</v>
      </c>
      <c r="G34" s="128">
        <f>IF(Inputs!B80="","",DATE(YEAR(Inputs!B80),MONTH(Inputs!B80),DAY(Inputs!B80)))</f>
        <v>43013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43074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43070</v>
      </c>
      <c r="F35" t="s">
        <v>166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43105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43101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43136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43132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43164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43160</v>
      </c>
      <c r="F38" t="s">
        <v>229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43195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43191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43225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43221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43256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43252</v>
      </c>
      <c r="F41" t="s">
        <v>230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43286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43282</v>
      </c>
      <c r="F42" t="s">
        <v>231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43317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43348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43378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43409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43439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43470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43501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43529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43560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43590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43621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43651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43682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43713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43709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100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131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131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113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97</v>
      </c>
      <c r="F80" s="12" t="s">
        <v>364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156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98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