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<sst xmlns="http://schemas.openxmlformats.org/spreadsheetml/2006/main" uniqueCount="369">
  <si>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</si>
  <si>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</si>
  <si>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</si>
  <si>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</si>
  <si>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</si>
  <si>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</si>
  <si>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</si>
  <si>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</si>
  <si>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</si>
  <si>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</si>
  <si>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</si>
  <si>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</si>
  <si>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</si>
  <si>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</si>
  <si>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</si>
  <si>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</si>
  <si>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</si>
  <si>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</si>
  <si>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</si>
  <si>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</si>
  <si>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</si>
  <si>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</si>
  <si>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</si>
  <si>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</si>
  <si>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</si>
  <si>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</si>
  <si>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</si>
  <si>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</si>
  <si>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</si>
  <si>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</si>
  <si>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</si>
  <si>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</si>
  <si>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</si>
  <si>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</si>
  <si>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</si>
  <si>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</si>
  <si>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</si>
  <si>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</si>
  <si>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</si>
  <si>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</si>
  <si>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</si>
  <si>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</si>
  <si>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</si>
  <si>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</si>
  <si>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</si>
  <si>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</si>
  <si>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</si>
  <si>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</si>
  <si>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</si>
  <si>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</si>
  <si>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</si>
  <si>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</si>
  <si>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</si>
  <si>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</si>
  <si>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</si>
  <si>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</si>
  <si>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</si>
  <si>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</si>
  <si>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</si>
  <si>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</si>
  <si>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</si>
  <si>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</si>
  <si>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</si>
  <si>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</si>
  <si>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</si>
  <si>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</si>
  <si>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</si>
  <si>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</si>
  <si>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</si>
  <si>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</si>
  <si>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</si>
  <si>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</si>
  <si>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</si>
  <si>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</si>
  <si>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</si>
  <si>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</si>
  <si>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</si>
  <si>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</si>
  <si>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</si>
  <si>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</si>
  <si>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</si>
  <si>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</si>
  <si>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</si>
  <si>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</si>
  <si>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</si>
  <si>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</si>
  <si>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</si>
  <si>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</si>
  <si>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</si>
  <si>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</si>
  <si>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Shop_certified variety</t>
  </si>
  <si>
    <t>Yes both manure and inorganic</t>
  </si>
  <si>
    <t>Yes</t>
  </si>
  <si>
    <t>Yes without the use of a pump</t>
  </si>
  <si>
    <t>November</t>
  </si>
  <si>
    <t>October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</si>
  <si>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</si>
  <si>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</si>
  <si>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</si>
  <si>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</si>
  <si>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</si>
  <si>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</si>
  <si>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</si>
  <si>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</si>
  <si>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</si>
  <si>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</si>
  <si>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</si>
  <si>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</si>
  <si>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</si>
  <si>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</si>
  <si>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</si>
  <si>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</si>
  <si>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</si>
  <si>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Employed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</si>
  <si>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</si>
  <si>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</si>
  <si>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</si>
  <si>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</si>
  <si>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</si>
  <si>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</si>
  <si>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</si>
  <si>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Rental under construction</t>
  </si>
  <si>
    <t>January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</si>
  <si>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</si>
  <si>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</si>
  <si>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</si>
  <si>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</si>
  <si>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</si>
  <si>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</si>
  <si>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</si>
  <si>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</si>
  <si>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</si>
  <si>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</si>
  <si>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</si>
  <si>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</si>
  <si>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</si>
  <si>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</si>
  <si>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</si>
  <si>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</si>
  <si>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</si>
  <si>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</si>
  <si>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</si>
  <si>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</si>
  <si>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12/12/2015</t>
  </si>
  <si>
    <t>Coperative Bank</t>
  </si>
  <si>
    <t>Good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</si>
  <si>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</si>
  <si>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</si>
  <si>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</si>
  <si>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</si>
  <si>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</si>
  <si>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</si>
  <si>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</si>
  <si>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</si>
  <si>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</si>
  <si>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</si>
  <si>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</si>
  <si>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</si>
  <si>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2017/9/6</t>
  </si>
  <si>
    <t>Loan terms</t>
  </si>
  <si>
    <t>Expected disbursement date</t>
  </si>
  <si>
    <t>Expected first repayment date</t>
  </si>
  <si>
    <t>2017/10/6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</si>
  <si>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</si>
  <si>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</si>
  <si>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</si>
  <si>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</si>
  <si>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</si>
  <si>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</si>
  <si>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</si>
  <si>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</si>
  <si>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</si>
  <si>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</si>
  <si>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</si>
  <si>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</si>
  <si>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</si>
  <si>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</si>
  <si>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</si>
  <si>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</si>
  <si>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</si>
  <si>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</si>
  <si>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</si>
  <si>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</si>
  <si>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</si>
  <si>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</si>
  <si>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</si>
  <si>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</si>
  <si>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</si>
  <si>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</si>
  <si>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</si>
  <si>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</si>
  <si>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</si>
  <si>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</si>
  <si>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</si>
  <si>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</si>
  <si>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</si>
  <si>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</si>
  <si>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</si>
  <si>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</si>
  <si>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</si>
  <si>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</si>
  <si>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</si>
  <si>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</si>
  <si>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</si>
  <si>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</si>
  <si>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</si>
  <si>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</si>
  <si>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</si>
  <si>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</si>
  <si>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</si>
  <si>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</si>
  <si>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</si>
  <si>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</si>
  <si>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</si>
  <si>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</si>
  <si>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</si>
  <si>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</si>
  <si>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</si>
  <si>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</si>
  <si>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</si>
  <si>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</si>
  <si>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</si>
  <si>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</si>
  <si>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</si>
  <si>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</si>
  <si>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</si>
  <si>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</si>
  <si>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</si>
  <si>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</si>
  <si>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</si>
  <si>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</si>
  <si>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</si>
  <si>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</si>
  <si>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</si>
  <si>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</si>
  <si>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</si>
  <si>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</si>
  <si>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</si>
  <si>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</si>
  <si>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</si>
  <si>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</si>
  <si>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</si>
  <si>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</si>
  <si>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</si>
  <si>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</si>
  <si>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</si>
  <si>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</si>
  <si>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</si>
  <si>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</si>
  <si>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</si>
  <si>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</si>
  <si>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</si>
  <si>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</si>
  <si>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</si>
  <si>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</si>
  <si>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</si>
  <si>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</si>
  <si>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</si>
  <si>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</si>
  <si>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</si>
  <si>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</si>
  <si>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</si>
  <si>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</si>
  <si>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</si>
  <si>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</si>
  <si>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</si>
  <si>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</si>
  <si>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</si>
  <si>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</si>
  <si>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</si>
  <si>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</si>
  <si>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</si>
  <si>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</si>
  <si>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</si>
  <si>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</si>
  <si>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</si>
  <si>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</si>
  <si>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</si>
  <si>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</si>
  <si>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</si>
  <si>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</si>
  <si>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</si>
  <si>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</si>
  <si>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</si>
  <si>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</si>
  <si>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</si>
  <si>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</si>
  <si>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</si>
  <si>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</si>
  <si>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</si>
  <si>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</si>
  <si>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</si>
  <si>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</si>
  <si>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</si>
  <si>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</si>
  <si>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</si>
  <si>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</si>
  <si>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</si>
  <si>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</si>
  <si>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</si>
  <si>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</si>
  <si>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</si>
  <si>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</si>
  <si>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</si>
  <si>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</si>
  <si>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</si>
  <si>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</si>
  <si>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</si>
  <si>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</si>
  <si>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</si>
  <si>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</si>
  <si>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</si>
  <si>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</si>
  <si>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</si>
  <si>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</si>
  <si>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</si>
  <si>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</si>
  <si>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</si>
  <si>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</si>
  <si>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</si>
  <si>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</si>
  <si>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</si>
  <si>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</si>
  <si>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</si>
  <si>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</si>
  <si>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</si>
  <si>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</si>
  <si>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</si>
  <si>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</si>
  <si>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</si>
  <si>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</si>
  <si>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</si>
  <si>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</si>
  <si>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</si>
  <si>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</si>
  <si>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</si>
  <si>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</si>
  <si>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</si>
  <si>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</si>
  <si>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</si>
  <si>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</si>
  <si>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</si>
  <si>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</si>
  <si>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</si>
  <si>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</si>
  <si>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</si>
  <si>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</si>
  <si>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</si>
  <si>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</si>
  <si>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</si>
  <si>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</si>
  <si>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</si>
  <si>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</si>
  <si>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</si>
  <si>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</si>
  <si>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</si>
  <si>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</si>
  <si>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</si>
  <si>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</si>
  <si>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</si>
  <si>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</si>
  <si>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</si>
  <si>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</si>
  <si>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</si>
  <si>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</si>
  <si>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</si>
  <si>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August</t>
  </si>
  <si>
    <t>September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</si>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</sst>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#VALUE!,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Employed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1.263458580531751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#VALUE!</v>
      </c>
    </row>
    <row r="13" spans="1:7">
      <c r="B13" s="1" t="s">
        <v>8</v>
      </c>
      <c r="C13" s="67">
        <f>IFERROR(Output!B107/Output!B101,"")</f>
        <v>0.2436102236421725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133333.3333333333</v>
      </c>
    </row>
    <row r="17" spans="1:7">
      <c r="B17" s="1" t="s">
        <v>11</v>
      </c>
      <c r="C17" s="36">
        <f>SUM(Output!B6:M6)</f>
        <v>-786399.9999999997</v>
      </c>
    </row>
    <row r="18" spans="1:7">
      <c r="B18" s="1" t="s">
        <v>12</v>
      </c>
      <c r="C18" s="36">
        <f>MIN(Output!B6:M6)</f>
        <v>-981866.6666666666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2018</v>
      </c>
    </row>
    <row r="20" spans="1:7">
      <c r="B20" s="1" t="s">
        <v>14</v>
      </c>
      <c r="C20" s="36">
        <f>MAX(Output!B6:M6)</f>
        <v>18133.33333333334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1224386</v>
      </c>
    </row>
    <row r="25" spans="1:7">
      <c r="B25" s="1" t="s">
        <v>18</v>
      </c>
      <c r="C25" s="36">
        <f>MAX(Inputs!A56:A60)</f>
        <v>1224386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0</v>
      </c>
      <c r="E3" s="49">
        <f>IF(E6=MAX($B$6:$M$6),1,0)</f>
        <v>1</v>
      </c>
      <c r="F3" s="49">
        <f>IF(F6=MAX($B$6:$M$6),1,0)</f>
        <v>0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42979</v>
      </c>
      <c r="C5" s="17">
        <f>DATE(YEAR(B5),MONTH(B5)+1,DAY(B5))</f>
        <v>43009</v>
      </c>
      <c r="D5" s="17">
        <f>DATE(YEAR(C5),MONTH(C5)+1,DAY(C5))</f>
        <v>43040</v>
      </c>
      <c r="E5" s="17">
        <f>DATE(YEAR(D5),MONTH(D5)+1,DAY(D5))</f>
        <v>43070</v>
      </c>
      <c r="F5" s="17">
        <f>DATE(YEAR(E5),MONTH(E5)+1,DAY(E5))</f>
        <v>43101</v>
      </c>
      <c r="G5" s="17">
        <f>DATE(YEAR(F5),MONTH(F5)+1,DAY(F5))</f>
        <v>43132</v>
      </c>
      <c r="H5" s="17">
        <f>DATE(YEAR(G5),MONTH(G5)+1,DAY(G5))</f>
        <v>43160</v>
      </c>
      <c r="I5" s="17">
        <f>DATE(YEAR(H5),MONTH(H5)+1,DAY(H5))</f>
        <v>43191</v>
      </c>
      <c r="J5" s="17">
        <f>DATE(YEAR(I5),MONTH(I5)+1,DAY(I5))</f>
        <v>43221</v>
      </c>
      <c r="K5" s="17">
        <f>DATE(YEAR(J5),MONTH(J5)+1,DAY(J5))</f>
        <v>43252</v>
      </c>
      <c r="L5" s="17">
        <f>DATE(YEAR(K5),MONTH(K5)+1,DAY(K5))</f>
        <v>43282</v>
      </c>
      <c r="M5" s="17">
        <f>DATE(YEAR(L5),MONTH(L5)+1,DAY(L5))</f>
        <v>43313</v>
      </c>
      <c r="N5" s="17">
        <f>DATE(YEAR(M5),MONTH(M5)+1,DAY(M5))</f>
        <v>43344</v>
      </c>
      <c r="O5" s="17">
        <f>DATE(YEAR(N5),MONTH(N5)+1,DAY(N5))</f>
        <v>43374</v>
      </c>
      <c r="P5" s="17">
        <f>DATE(YEAR(O5),MONTH(O5)+1,DAY(O5))</f>
        <v>43405</v>
      </c>
      <c r="Q5" s="17">
        <f>DATE(YEAR(P5),MONTH(P5)+1,DAY(P5))</f>
        <v>43435</v>
      </c>
      <c r="R5" s="17">
        <f>DATE(YEAR(Q5),MONTH(Q5)+1,DAY(Q5))</f>
        <v>43466</v>
      </c>
      <c r="S5" s="17">
        <f>DATE(YEAR(R5),MONTH(R5)+1,DAY(R5))</f>
        <v>43497</v>
      </c>
      <c r="T5" s="17">
        <f>DATE(YEAR(S5),MONTH(S5)+1,DAY(S5))</f>
        <v>43525</v>
      </c>
      <c r="U5" s="17">
        <f>DATE(YEAR(T5),MONTH(T5)+1,DAY(T5))</f>
        <v>43556</v>
      </c>
      <c r="V5" s="17">
        <f>DATE(YEAR(U5),MONTH(U5)+1,DAY(U5))</f>
        <v>43586</v>
      </c>
      <c r="W5" s="17">
        <f>DATE(YEAR(V5),MONTH(V5)+1,DAY(V5))</f>
        <v>43617</v>
      </c>
      <c r="X5" s="17">
        <f>DATE(YEAR(W5),MONTH(W5)+1,DAY(W5))</f>
        <v>43647</v>
      </c>
      <c r="Y5" s="17">
        <f>DATE(YEAR(X5),MONTH(X5)+1,DAY(X5))</f>
        <v>43678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43709</v>
      </c>
    </row>
    <row r="6" spans="1:30" customHeight="1" ht="15.75">
      <c r="A6" s="50" t="s">
        <v>27</v>
      </c>
      <c r="B6" s="51">
        <f>B30-B88</f>
        <v>18133.33333333334</v>
      </c>
      <c r="C6" s="51">
        <f>C30-C88</f>
        <v>18133.33333333334</v>
      </c>
      <c r="D6" s="51">
        <f>D30-D88</f>
        <v>14133.33333333334</v>
      </c>
      <c r="E6" s="51">
        <f>E30-E88</f>
        <v>18133.33333333334</v>
      </c>
      <c r="F6" s="51">
        <f>F30-F88</f>
        <v>-981866.6666666666</v>
      </c>
      <c r="G6" s="51">
        <f>G30-G88</f>
        <v>18133.33333333334</v>
      </c>
      <c r="H6" s="51">
        <f>H30-H88</f>
        <v>18133.33333333334</v>
      </c>
      <c r="I6" s="51">
        <f>I30-I88</f>
        <v>18133.33333333334</v>
      </c>
      <c r="J6" s="51">
        <f>J30-J88</f>
        <v>18133.33333333334</v>
      </c>
      <c r="K6" s="51">
        <f>K30-K88</f>
        <v>18133.33333333334</v>
      </c>
      <c r="L6" s="51">
        <f>L30-L88</f>
        <v>18133.33333333334</v>
      </c>
      <c r="M6" s="51">
        <f>M30-M88</f>
        <v>18133.33333333334</v>
      </c>
      <c r="N6" s="51">
        <f>N30-N88</f>
        <v>18133.33333333334</v>
      </c>
      <c r="O6" s="51">
        <f>O30-O88</f>
        <v>18133.33333333334</v>
      </c>
      <c r="P6" s="51">
        <f>P30-P88</f>
        <v>14133.33333333334</v>
      </c>
      <c r="Q6" s="51">
        <f>Q30-Q88</f>
        <v>18133.33333333334</v>
      </c>
      <c r="R6" s="51">
        <f>R30-R88</f>
        <v>18133.33333333334</v>
      </c>
      <c r="S6" s="51">
        <f>S30-S88</f>
        <v>18133.33333333334</v>
      </c>
      <c r="T6" s="51">
        <f>T30-T88</f>
        <v>18133.33333333334</v>
      </c>
      <c r="U6" s="51">
        <f>U30-U88</f>
        <v>18133.33333333334</v>
      </c>
      <c r="V6" s="51">
        <f>V30-V88</f>
        <v>18133.33333333334</v>
      </c>
      <c r="W6" s="51">
        <f>W30-W88</f>
        <v>18133.33333333334</v>
      </c>
      <c r="X6" s="51">
        <f>X30-X88</f>
        <v>18133.33333333334</v>
      </c>
      <c r="Y6" s="51">
        <f>Y30-Y88</f>
        <v>18133.33333333334</v>
      </c>
      <c r="Z6" s="51">
        <f>SUMIF($B$13:$Y$13,"Yes",B6:Y6)</f>
        <v>-572799.9999999992</v>
      </c>
      <c r="AA6" s="51">
        <f>AA30-AA88</f>
        <v>-786400.0000000005</v>
      </c>
      <c r="AB6" s="51">
        <f>AB30-AB88</f>
        <v>-572800.0000000014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55596</v>
      </c>
      <c r="H7" s="80">
        <f>IF(ISERROR(VLOOKUP(MONTH(H5),Inputs!$D$66:$D$71,1,0)),"",INDEX(Inputs!$B$66:$B$71,MATCH(MONTH(Output!H5),Inputs!$D$66:$D$71,0))-INDEX(Inputs!$C$66:$C$71,MATCH(MONTH(Output!H5),Inputs!$D$66:$D$71,0)))</f>
        <v>101605</v>
      </c>
      <c r="I7" s="80">
        <f>IF(ISERROR(VLOOKUP(MONTH(I5),Inputs!$D$66:$D$71,1,0)),"",INDEX(Inputs!$B$66:$B$71,MATCH(MONTH(Output!I5),Inputs!$D$66:$D$71,0))-INDEX(Inputs!$C$66:$C$71,MATCH(MONTH(Output!I5),Inputs!$D$66:$D$71,0)))</f>
        <v>64254</v>
      </c>
      <c r="J7" s="80">
        <f>IF(ISERROR(VLOOKUP(MONTH(J5),Inputs!$D$66:$D$71,1,0)),"",INDEX(Inputs!$B$66:$B$71,MATCH(MONTH(Output!J5),Inputs!$D$66:$D$71,0))-INDEX(Inputs!$C$66:$C$71,MATCH(MONTH(Output!J5),Inputs!$D$66:$D$71,0)))</f>
        <v>44047</v>
      </c>
      <c r="K7" s="80">
        <f>IF(ISERROR(VLOOKUP(MONTH(K5),Inputs!$D$66:$D$71,1,0)),"",INDEX(Inputs!$B$66:$B$71,MATCH(MONTH(Output!K5),Inputs!$D$66:$D$71,0))-INDEX(Inputs!$C$66:$C$71,MATCH(MONTH(Output!K5),Inputs!$D$66:$D$71,0)))</f>
        <v>79705</v>
      </c>
      <c r="L7" s="80">
        <f>IF(ISERROR(VLOOKUP(MONTH(L5),Inputs!$D$66:$D$71,1,0)),"",INDEX(Inputs!$B$66:$B$71,MATCH(MONTH(Output!L5),Inputs!$D$66:$D$71,0))-INDEX(Inputs!$C$66:$C$71,MATCH(MONTH(Output!L5),Inputs!$D$66:$D$71,0)))</f>
        <v>50655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55596</v>
      </c>
      <c r="T7" s="80">
        <f>IF(ISERROR(VLOOKUP(MONTH(T5),Inputs!$D$66:$D$71,1,0)),"",INDEX(Inputs!$B$66:$B$71,MATCH(MONTH(Output!T5),Inputs!$D$66:$D$71,0))-INDEX(Inputs!$C$66:$C$71,MATCH(MONTH(Output!T5),Inputs!$D$66:$D$71,0)))</f>
        <v>101605</v>
      </c>
      <c r="U7" s="80">
        <f>IF(ISERROR(VLOOKUP(MONTH(U5),Inputs!$D$66:$D$71,1,0)),"",INDEX(Inputs!$B$66:$B$71,MATCH(MONTH(Output!U5),Inputs!$D$66:$D$71,0))-INDEX(Inputs!$C$66:$C$71,MATCH(MONTH(Output!U5),Inputs!$D$66:$D$71,0)))</f>
        <v>64254</v>
      </c>
      <c r="V7" s="80">
        <f>IF(ISERROR(VLOOKUP(MONTH(V5),Inputs!$D$66:$D$71,1,0)),"",INDEX(Inputs!$B$66:$B$71,MATCH(MONTH(Output!V5),Inputs!$D$66:$D$71,0))-INDEX(Inputs!$C$66:$C$71,MATCH(MONTH(Output!V5),Inputs!$D$66:$D$71,0)))</f>
        <v>44047</v>
      </c>
      <c r="W7" s="80">
        <f>IF(ISERROR(VLOOKUP(MONTH(W5),Inputs!$D$66:$D$71,1,0)),"",INDEX(Inputs!$B$66:$B$71,MATCH(MONTH(Output!W5),Inputs!$D$66:$D$71,0))-INDEX(Inputs!$C$66:$C$71,MATCH(MONTH(Output!W5),Inputs!$D$66:$D$71,0)))</f>
        <v>79705</v>
      </c>
      <c r="X7" s="80">
        <f>IF(ISERROR(VLOOKUP(MONTH(X5),Inputs!$D$66:$D$71,1,0)),"",INDEX(Inputs!$B$66:$B$71,MATCH(MONTH(Output!X5),Inputs!$D$66:$D$71,0))-INDEX(Inputs!$C$66:$C$71,MATCH(MONTH(Output!X5),Inputs!$D$66:$D$71,0)))</f>
        <v>50655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3000000</v>
      </c>
      <c r="AA9" s="75">
        <f>SUM(B9:M9)</f>
        <v>3000000</v>
      </c>
      <c r="AB9" s="75">
        <f>SUM(B9:Y9)</f>
        <v>3000000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133333.3333333333</v>
      </c>
      <c r="D10" s="37">
        <f>SUMPRODUCT((Calculations!$D$33:$D$84=Output!D5)+0,Calculations!$C$33:$C$84)</f>
        <v>133333.3333333333</v>
      </c>
      <c r="E10" s="37">
        <f>SUMPRODUCT((Calculations!$D$33:$D$84=Output!E5)+0,Calculations!$C$33:$C$84)</f>
        <v>133333.3333333333</v>
      </c>
      <c r="F10" s="37">
        <f>SUMPRODUCT((Calculations!$D$33:$D$84=Output!F5)+0,Calculations!$C$33:$C$84)</f>
        <v>133333.3333333333</v>
      </c>
      <c r="G10" s="37">
        <f>SUMPRODUCT((Calculations!$D$33:$D$84=Output!G5)+0,Calculations!$C$33:$C$84)</f>
        <v>133333.3333333333</v>
      </c>
      <c r="H10" s="37">
        <f>SUMPRODUCT((Calculations!$D$33:$D$84=Output!H5)+0,Calculations!$C$33:$C$84)</f>
        <v>133333.3333333333</v>
      </c>
      <c r="I10" s="37">
        <f>SUMPRODUCT((Calculations!$D$33:$D$84=Output!I5)+0,Calculations!$C$33:$C$84)</f>
        <v>133333.3333333333</v>
      </c>
      <c r="J10" s="37">
        <f>SUMPRODUCT((Calculations!$D$33:$D$84=Output!J5)+0,Calculations!$C$33:$C$84)</f>
        <v>133333.3333333333</v>
      </c>
      <c r="K10" s="37">
        <f>SUMPRODUCT((Calculations!$D$33:$D$84=Output!K5)+0,Calculations!$C$33:$C$84)</f>
        <v>133333.3333333333</v>
      </c>
      <c r="L10" s="37">
        <f>SUMPRODUCT((Calculations!$D$33:$D$84=Output!L5)+0,Calculations!$C$33:$C$84)</f>
        <v>133333.3333333333</v>
      </c>
      <c r="M10" s="37">
        <f>SUMPRODUCT((Calculations!$D$33:$D$84=Output!M5)+0,Calculations!$C$33:$C$84)</f>
        <v>133333.3333333333</v>
      </c>
      <c r="N10" s="37">
        <f>SUMPRODUCT((Calculations!$D$33:$D$84=Output!N5)+0,Calculations!$C$33:$C$84)</f>
        <v>133333.3333333333</v>
      </c>
      <c r="O10" s="37">
        <f>SUMPRODUCT((Calculations!$D$33:$D$84=Output!O5)+0,Calculations!$C$33:$C$84)</f>
        <v>133333.3333333333</v>
      </c>
      <c r="P10" s="37">
        <f>SUMPRODUCT((Calculations!$D$33:$D$84=Output!P5)+0,Calculations!$C$33:$C$84)</f>
        <v>133333.3333333333</v>
      </c>
      <c r="Q10" s="37">
        <f>SUMPRODUCT((Calculations!$D$33:$D$84=Output!Q5)+0,Calculations!$C$33:$C$84)</f>
        <v>133333.3333333333</v>
      </c>
      <c r="R10" s="37">
        <f>SUMPRODUCT((Calculations!$D$33:$D$84=Output!R5)+0,Calculations!$C$33:$C$84)</f>
        <v>133333.3333333333</v>
      </c>
      <c r="S10" s="37">
        <f>SUMPRODUCT((Calculations!$D$33:$D$84=Output!S5)+0,Calculations!$C$33:$C$84)</f>
        <v>133333.3333333333</v>
      </c>
      <c r="T10" s="37">
        <f>SUMPRODUCT((Calculations!$D$33:$D$84=Output!T5)+0,Calculations!$C$33:$C$84)</f>
        <v>133333.3333333333</v>
      </c>
      <c r="U10" s="37">
        <f>SUMPRODUCT((Calculations!$D$33:$D$84=Output!U5)+0,Calculations!$C$33:$C$84)</f>
        <v>133333.3333333333</v>
      </c>
      <c r="V10" s="37">
        <f>SUMPRODUCT((Calculations!$D$33:$D$84=Output!V5)+0,Calculations!$C$33:$C$84)</f>
        <v>133333.3333333333</v>
      </c>
      <c r="W10" s="37">
        <f>SUMPRODUCT((Calculations!$D$33:$D$84=Output!W5)+0,Calculations!$C$33:$C$84)</f>
        <v>133333.3333333333</v>
      </c>
      <c r="X10" s="37">
        <f>SUMPRODUCT((Calculations!$D$33:$D$84=Output!X5)+0,Calculations!$C$33:$C$84)</f>
        <v>133333.3333333333</v>
      </c>
      <c r="Y10" s="37">
        <f>SUMPRODUCT((Calculations!$D$33:$D$84=Output!Y5)+0,Calculations!$C$33:$C$84)</f>
        <v>133333.3333333333</v>
      </c>
      <c r="Z10" s="37">
        <f>SUMIF($B$13:$Y$13,"Yes",B10:Y10)</f>
        <v>3066666.666666667</v>
      </c>
      <c r="AA10" s="37">
        <f>SUM(B10:M10)</f>
        <v>1466666.666666666</v>
      </c>
      <c r="AB10" s="37">
        <f>SUM(B10:Y10)</f>
        <v>3066666.666666667</v>
      </c>
    </row>
    <row r="11" spans="1:30" customHeight="1" ht="15.75">
      <c r="A11" s="43" t="s">
        <v>31</v>
      </c>
      <c r="B11" s="80">
        <f>B6+B9-B10</f>
        <v>3018133.333333333</v>
      </c>
      <c r="C11" s="80">
        <f>C6+C9-C10</f>
        <v>-115200</v>
      </c>
      <c r="D11" s="80">
        <f>D6+D9-D10</f>
        <v>-119200</v>
      </c>
      <c r="E11" s="80">
        <f>E6+E9-E10</f>
        <v>-115200</v>
      </c>
      <c r="F11" s="80">
        <f>F6+F9-F10</f>
        <v>-1115200</v>
      </c>
      <c r="G11" s="80">
        <f>G6+G9-G10</f>
        <v>-115200</v>
      </c>
      <c r="H11" s="80">
        <f>H6+H9-H10</f>
        <v>-115200</v>
      </c>
      <c r="I11" s="80">
        <f>I6+I9-I10</f>
        <v>-115200</v>
      </c>
      <c r="J11" s="80">
        <f>J6+J9-J10</f>
        <v>-115200</v>
      </c>
      <c r="K11" s="80">
        <f>K6+K9-K10</f>
        <v>-115200</v>
      </c>
      <c r="L11" s="80">
        <f>L6+L9-L10</f>
        <v>-115200</v>
      </c>
      <c r="M11" s="80">
        <f>M6+M9-M10</f>
        <v>-115200</v>
      </c>
      <c r="N11" s="80">
        <f>N6+N9-N10</f>
        <v>-115200</v>
      </c>
      <c r="O11" s="80">
        <f>O6+O9-O10</f>
        <v>-115200</v>
      </c>
      <c r="P11" s="80">
        <f>P6+P9-P10</f>
        <v>-119200</v>
      </c>
      <c r="Q11" s="80">
        <f>Q6+Q9-Q10</f>
        <v>-115200</v>
      </c>
      <c r="R11" s="80">
        <f>R6+R9-R10</f>
        <v>-115200</v>
      </c>
      <c r="S11" s="80">
        <f>S6+S9-S10</f>
        <v>-115200</v>
      </c>
      <c r="T11" s="80">
        <f>T6+T9-T10</f>
        <v>-115200</v>
      </c>
      <c r="U11" s="80">
        <f>U6+U9-U10</f>
        <v>-115200</v>
      </c>
      <c r="V11" s="80">
        <f>V6+V9-V10</f>
        <v>-115200</v>
      </c>
      <c r="W11" s="80">
        <f>W6+W9-W10</f>
        <v>-115200</v>
      </c>
      <c r="X11" s="80">
        <f>X6+X9-X10</f>
        <v>-115200</v>
      </c>
      <c r="Y11" s="80">
        <f>Y6+Y9-Y10</f>
        <v>-115200</v>
      </c>
      <c r="Z11" s="85">
        <f>SUMIF($B$13:$Y$13,"Yes",B11:Y11)</f>
        <v>-639466.6666666664</v>
      </c>
      <c r="AA11" s="80">
        <f>SUM(B11:M11)</f>
        <v>746933.3333333335</v>
      </c>
      <c r="AB11" s="46">
        <f>SUM(B11:Y11)</f>
        <v>-639466.6666666664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0.04391357807834182</v>
      </c>
      <c r="D12" s="82">
        <f>IF(D13="Yes",IF(SUM($B$10:D10)/(SUM($B$6:D6)+SUM($B$9:D9))&lt;0,999.99,SUM($B$10:D10)/(SUM($B$6:D6)+SUM($B$9:D9))),"")</f>
        <v>0.08742022904100008</v>
      </c>
      <c r="E12" s="82">
        <f>IF(E13="Yes",IF(SUM($B$10:E10)/(SUM($B$6:E6)+SUM($B$9:E9))&lt;0,999.99,SUM($B$10:E10)/(SUM($B$6:E6)+SUM($B$9:E9))),"")</f>
        <v>0.1303554358216737</v>
      </c>
      <c r="F12" s="82">
        <f>IF(F13="Yes",IF(SUM($B$10:F10)/(SUM($B$6:F6)+SUM($B$9:F9))&lt;0,999.99,SUM($B$10:F10)/(SUM($B$6:F6)+SUM($B$9:F9))),"")</f>
        <v>0.255591054313099</v>
      </c>
      <c r="G12" s="82">
        <f>IF(G13="Yes",IF(SUM($B$10:G10)/(SUM($B$6:G6)+SUM($B$9:G9))&lt;0,999.99,SUM($B$10:G10)/(SUM($B$6:G6)+SUM($B$9:G9))),"")</f>
        <v>0.3167363486633725</v>
      </c>
      <c r="H12" s="82">
        <f>IF(H13="Yes",IF(SUM($B$10:H10)/(SUM($B$6:H6)+SUM($B$9:H9))&lt;0,999.99,SUM($B$10:H10)/(SUM($B$6:H6)+SUM($B$9:H9))),"")</f>
        <v>0.3768370807687475</v>
      </c>
      <c r="I12" s="82">
        <f>IF(I13="Yes",IF(SUM($B$10:I10)/(SUM($B$6:I6)+SUM($B$9:I9))&lt;0,999.99,SUM($B$10:I10)/(SUM($B$6:I6)+SUM($B$9:I9))),"")</f>
        <v>0.4359197907585002</v>
      </c>
      <c r="J12" s="82">
        <f>IF(J13="Yes",IF(SUM($B$10:J10)/(SUM($B$6:J6)+SUM($B$9:J9))&lt;0,999.99,SUM($B$10:J10)/(SUM($B$6:J6)+SUM($B$9:J9))),"")</f>
        <v>0.4940101272076076</v>
      </c>
      <c r="K12" s="82">
        <f>IF(K13="Yes",IF(SUM($B$10:K10)/(SUM($B$6:K6)+SUM($B$9:K9))&lt;0,999.99,SUM($B$10:K10)/(SUM($B$6:K6)+SUM($B$9:K9))),"")</f>
        <v>0.5511328842620941</v>
      </c>
      <c r="L12" s="82">
        <f>IF(L13="Yes",IF(SUM($B$10:L10)/(SUM($B$6:L6)+SUM($B$9:L9))&lt;0,999.99,SUM($B$10:L10)/(SUM($B$6:L6)+SUM($B$9:L9))),"")</f>
        <v>0.6073120369245715</v>
      </c>
      <c r="M12" s="82">
        <f>IF(M13="Yes",IF(SUM($B$10:M10)/(SUM($B$6:M6)+SUM($B$9:M9))&lt;0,999.99,SUM($B$10:M10)/(SUM($B$6:M6)+SUM($B$9:M9))),"")</f>
        <v>0.6625707746054688</v>
      </c>
      <c r="N12" s="82">
        <f>IF(N13="Yes",IF(SUM($B$10:N10)/(SUM($B$6:N6)+SUM($B$9:N9))&lt;0,999.99,SUM($B$10:N10)/(SUM($B$6:N6)+SUM($B$9:N9))),"")</f>
        <v>0.7169315330385942</v>
      </c>
      <c r="O12" s="82">
        <f>IF(O13="Yes",IF(SUM($B$10:O10)/(SUM($B$6:O6)+SUM($B$9:O9))&lt;0,999.99,SUM($B$10:O10)/(SUM($B$6:O6)+SUM($B$9:O9))),"")</f>
        <v>0.7704160246533124</v>
      </c>
      <c r="P12" s="82">
        <f>IF(P13="Yes",IF(SUM($B$10:P10)/(SUM($B$6:P6)+SUM($B$9:P9))&lt;0,999.99,SUM($B$10:P10)/(SUM($B$6:P6)+SUM($B$9:P9))),"")</f>
        <v>0.8244994110718487</v>
      </c>
      <c r="Q12" s="82">
        <f>IF(Q13="Yes",IF(SUM($B$10:Q10)/(SUM($B$6:Q6)+SUM($B$9:Q9))&lt;0,999.99,SUM($B$10:Q10)/(SUM($B$6:Q6)+SUM($B$9:Q9))),"")</f>
        <v>0.8763729843421354</v>
      </c>
      <c r="R12" s="82">
        <f>IF(R13="Yes",IF(SUM($B$10:R10)/(SUM($B$6:R6)+SUM($B$9:R9))&lt;0,999.99,SUM($B$10:R10)/(SUM($B$6:R6)+SUM($B$9:R9))),"")</f>
        <v>0.9274287039183858</v>
      </c>
      <c r="S12" s="82">
        <f>IF(S13="Yes",IF(SUM($B$10:S10)/(SUM($B$6:S6)+SUM($B$9:S9))&lt;0,999.99,SUM($B$10:S10)/(SUM($B$6:S6)+SUM($B$9:S9))),"")</f>
        <v>0.9776857602944555</v>
      </c>
      <c r="T12" s="82">
        <f>IF(T13="Yes",IF(SUM($B$10:T10)/(SUM($B$6:T6)+SUM($B$9:T9))&lt;0,999.99,SUM($B$10:T10)/(SUM($B$6:T6)+SUM($B$9:T9))),"")</f>
        <v>1.027162748230997</v>
      </c>
      <c r="U12" s="82">
        <f>IF(U13="Yes",IF(SUM($B$10:U10)/(SUM($B$6:U6)+SUM($B$9:U9))&lt;0,999.99,SUM($B$10:U10)/(SUM($B$6:U6)+SUM($B$9:U9))),"")</f>
        <v>1.075877689694224</v>
      </c>
      <c r="V12" s="82">
        <f>IF(V13="Yes",IF(SUM($B$10:V10)/(SUM($B$6:V6)+SUM($B$9:V9))&lt;0,999.99,SUM($B$10:V10)/(SUM($B$6:V6)+SUM($B$9:V9))),"")</f>
        <v>1.123848055742863</v>
      </c>
      <c r="W12" s="82">
        <f>IF(W13="Yes",IF(SUM($B$10:W10)/(SUM($B$6:W6)+SUM($B$9:W9))&lt;0,999.99,SUM($B$10:W10)/(SUM($B$6:W6)+SUM($B$9:W9))),"")</f>
        <v>1.171090787419139</v>
      </c>
      <c r="X12" s="82">
        <f>IF(X13="Yes",IF(SUM($B$10:X10)/(SUM($B$6:X6)+SUM($B$9:X9))&lt;0,999.99,SUM($B$10:X10)/(SUM($B$6:X6)+SUM($B$9:X9))),"")</f>
        <v>1.217622315696258</v>
      </c>
      <c r="Y12" s="82">
        <f>IF(Y13="Yes",IF(SUM($B$10:Y10)/(SUM($B$6:Y6)+SUM($B$9:Y9))&lt;0,999.99,SUM($B$10:Y10)/(SUM($B$6:Y6)+SUM($B$9:Y9))),"")</f>
        <v>1.263458580531751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42979</v>
      </c>
      <c r="C17" s="17">
        <f>C5</f>
        <v>43009</v>
      </c>
      <c r="D17" s="17">
        <f>D5</f>
        <v>43040</v>
      </c>
      <c r="E17" s="17">
        <f>E5</f>
        <v>43070</v>
      </c>
      <c r="F17" s="17">
        <f>F5</f>
        <v>43101</v>
      </c>
      <c r="G17" s="17">
        <f>G5</f>
        <v>43132</v>
      </c>
      <c r="H17" s="17">
        <f>H5</f>
        <v>43160</v>
      </c>
      <c r="I17" s="17">
        <f>I5</f>
        <v>43191</v>
      </c>
      <c r="J17" s="17">
        <f>J5</f>
        <v>43221</v>
      </c>
      <c r="K17" s="17">
        <f>K5</f>
        <v>43252</v>
      </c>
      <c r="L17" s="17">
        <f>L5</f>
        <v>43282</v>
      </c>
      <c r="M17" s="17">
        <f>M5</f>
        <v>43313</v>
      </c>
      <c r="N17" s="17">
        <f>N5</f>
        <v>43344</v>
      </c>
      <c r="O17" s="17">
        <f>O5</f>
        <v>43374</v>
      </c>
      <c r="P17" s="17">
        <f>P5</f>
        <v>43405</v>
      </c>
      <c r="Q17" s="17">
        <f>Q5</f>
        <v>43435</v>
      </c>
      <c r="R17" s="17">
        <f>R5</f>
        <v>43466</v>
      </c>
      <c r="S17" s="17">
        <f>S5</f>
        <v>43497</v>
      </c>
      <c r="T17" s="17">
        <f>T5</f>
        <v>43525</v>
      </c>
      <c r="U17" s="17">
        <f>U5</f>
        <v>43556</v>
      </c>
      <c r="V17" s="17">
        <f>V5</f>
        <v>43586</v>
      </c>
      <c r="W17" s="17">
        <f>W5</f>
        <v>43617</v>
      </c>
      <c r="X17" s="17">
        <f>X5</f>
        <v>43647</v>
      </c>
      <c r="Y17" s="17">
        <f>Y5</f>
        <v>43678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50000</v>
      </c>
      <c r="C29" s="37">
        <f>Inputs!$B$30</f>
        <v>50000</v>
      </c>
      <c r="D29" s="37">
        <f>Inputs!$B$30</f>
        <v>50000</v>
      </c>
      <c r="E29" s="37">
        <f>Inputs!$B$30</f>
        <v>50000</v>
      </c>
      <c r="F29" s="37">
        <f>Inputs!$B$30</f>
        <v>50000</v>
      </c>
      <c r="G29" s="37">
        <f>Inputs!$B$30</f>
        <v>50000</v>
      </c>
      <c r="H29" s="37">
        <f>Inputs!$B$30</f>
        <v>50000</v>
      </c>
      <c r="I29" s="37">
        <f>Inputs!$B$30</f>
        <v>50000</v>
      </c>
      <c r="J29" s="37">
        <f>Inputs!$B$30</f>
        <v>50000</v>
      </c>
      <c r="K29" s="37">
        <f>Inputs!$B$30</f>
        <v>50000</v>
      </c>
      <c r="L29" s="37">
        <f>Inputs!$B$30</f>
        <v>50000</v>
      </c>
      <c r="M29" s="37">
        <f>Inputs!$B$30</f>
        <v>50000</v>
      </c>
      <c r="N29" s="37">
        <f>Inputs!$B$30</f>
        <v>50000</v>
      </c>
      <c r="O29" s="37">
        <f>Inputs!$B$30</f>
        <v>50000</v>
      </c>
      <c r="P29" s="37">
        <f>Inputs!$B$30</f>
        <v>50000</v>
      </c>
      <c r="Q29" s="37">
        <f>Inputs!$B$30</f>
        <v>50000</v>
      </c>
      <c r="R29" s="37">
        <f>Inputs!$B$30</f>
        <v>50000</v>
      </c>
      <c r="S29" s="37">
        <f>Inputs!$B$30</f>
        <v>50000</v>
      </c>
      <c r="T29" s="37">
        <f>Inputs!$B$30</f>
        <v>50000</v>
      </c>
      <c r="U29" s="37">
        <f>Inputs!$B$30</f>
        <v>50000</v>
      </c>
      <c r="V29" s="37">
        <f>Inputs!$B$30</f>
        <v>50000</v>
      </c>
      <c r="W29" s="37">
        <f>Inputs!$B$30</f>
        <v>50000</v>
      </c>
      <c r="X29" s="37">
        <f>Inputs!$B$30</f>
        <v>50000</v>
      </c>
      <c r="Y29" s="37">
        <f>Inputs!$B$30</f>
        <v>50000</v>
      </c>
      <c r="Z29" s="37">
        <f>SUMIF($B$13:$Y$13,"Yes",B29:Y29)</f>
        <v>1200000</v>
      </c>
      <c r="AA29" s="37">
        <f>SUM(B29:M29)</f>
        <v>600000</v>
      </c>
      <c r="AB29" s="37">
        <f>SUM(B29:Y29)</f>
        <v>1200000</v>
      </c>
    </row>
    <row r="30" spans="1:30" customHeight="1" ht="15.75">
      <c r="A30" s="1" t="s">
        <v>37</v>
      </c>
      <c r="B30" s="19">
        <f>SUM(B18:B29)</f>
        <v>50000</v>
      </c>
      <c r="C30" s="19">
        <f>SUM(C18:C29)</f>
        <v>50000</v>
      </c>
      <c r="D30" s="19">
        <f>SUM(D18:D29)</f>
        <v>50000</v>
      </c>
      <c r="E30" s="19">
        <f>SUM(E18:E29)</f>
        <v>50000</v>
      </c>
      <c r="F30" s="19">
        <f>SUM(F18:F29)</f>
        <v>50000</v>
      </c>
      <c r="G30" s="19">
        <f>SUM(G18:G29)</f>
        <v>50000</v>
      </c>
      <c r="H30" s="19">
        <f>SUM(H18:H29)</f>
        <v>50000</v>
      </c>
      <c r="I30" s="19">
        <f>SUM(I18:I29)</f>
        <v>50000</v>
      </c>
      <c r="J30" s="19">
        <f>SUM(J18:J29)</f>
        <v>50000</v>
      </c>
      <c r="K30" s="19">
        <f>SUM(K18:K29)</f>
        <v>50000</v>
      </c>
      <c r="L30" s="19">
        <f>SUM(L18:L29)</f>
        <v>50000</v>
      </c>
      <c r="M30" s="19">
        <f>SUM(M18:M29)</f>
        <v>50000</v>
      </c>
      <c r="N30" s="19">
        <f>SUM(N18:N29)</f>
        <v>50000</v>
      </c>
      <c r="O30" s="19">
        <f>SUM(O18:O29)</f>
        <v>50000</v>
      </c>
      <c r="P30" s="19">
        <f>SUM(P18:P29)</f>
        <v>50000</v>
      </c>
      <c r="Q30" s="19">
        <f>SUM(Q18:Q29)</f>
        <v>50000</v>
      </c>
      <c r="R30" s="19">
        <f>SUM(R18:R29)</f>
        <v>50000</v>
      </c>
      <c r="S30" s="19">
        <f>SUM(S18:S29)</f>
        <v>50000</v>
      </c>
      <c r="T30" s="19">
        <f>SUM(T18:T29)</f>
        <v>50000</v>
      </c>
      <c r="U30" s="19">
        <f>SUM(U18:U29)</f>
        <v>50000</v>
      </c>
      <c r="V30" s="19">
        <f>SUM(V18:V29)</f>
        <v>50000</v>
      </c>
      <c r="W30" s="19">
        <f>SUM(W18:W29)</f>
        <v>50000</v>
      </c>
      <c r="X30" s="19">
        <f>SUM(X18:X29)</f>
        <v>50000</v>
      </c>
      <c r="Y30" s="19">
        <f>SUM(Y18:Y29)</f>
        <v>50000</v>
      </c>
      <c r="Z30" s="19">
        <f>SUMIF($B$13:$Y$13,"Yes",B30:Y30)</f>
        <v>1200000</v>
      </c>
      <c r="AA30" s="19">
        <f>SUM(B30:M30)</f>
        <v>600000</v>
      </c>
      <c r="AB30" s="19">
        <f>SUM(B30:Y30)</f>
        <v>1200000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42979</v>
      </c>
      <c r="C35" s="17">
        <f>C17</f>
        <v>43009</v>
      </c>
      <c r="D35" s="17">
        <f>D17</f>
        <v>43040</v>
      </c>
      <c r="E35" s="17">
        <f>E17</f>
        <v>43070</v>
      </c>
      <c r="F35" s="17">
        <f>F17</f>
        <v>43101</v>
      </c>
      <c r="G35" s="17">
        <f>G17</f>
        <v>43132</v>
      </c>
      <c r="H35" s="17">
        <f>H17</f>
        <v>43160</v>
      </c>
      <c r="I35" s="17">
        <f>I17</f>
        <v>43191</v>
      </c>
      <c r="J35" s="17">
        <f>J17</f>
        <v>43221</v>
      </c>
      <c r="K35" s="17">
        <f>K17</f>
        <v>43252</v>
      </c>
      <c r="L35" s="17">
        <f>L17</f>
        <v>43282</v>
      </c>
      <c r="M35" s="17">
        <f>M17</f>
        <v>43313</v>
      </c>
      <c r="N35" s="17">
        <f>N17</f>
        <v>43344</v>
      </c>
      <c r="O35" s="17">
        <f>O17</f>
        <v>43374</v>
      </c>
      <c r="P35" s="17">
        <f>P17</f>
        <v>43405</v>
      </c>
      <c r="Q35" s="17">
        <f>Q17</f>
        <v>43435</v>
      </c>
      <c r="R35" s="17">
        <f>R17</f>
        <v>43466</v>
      </c>
      <c r="S35" s="17">
        <f>S17</f>
        <v>43497</v>
      </c>
      <c r="T35" s="17">
        <f>T17</f>
        <v>43525</v>
      </c>
      <c r="U35" s="17">
        <f>U17</f>
        <v>43556</v>
      </c>
      <c r="V35" s="17">
        <f>V17</f>
        <v>43586</v>
      </c>
      <c r="W35" s="17">
        <f>W17</f>
        <v>43617</v>
      </c>
      <c r="X35" s="17">
        <f>X17</f>
        <v>43647</v>
      </c>
      <c r="Y35" s="17">
        <f>Y17</f>
        <v>43678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4000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4000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8000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2000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2000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4000</v>
      </c>
      <c r="AA37" s="36">
        <f>SUM(B37:M37)</f>
        <v>2000</v>
      </c>
      <c r="AB37" s="36">
        <f>SUM(B37:Y37)</f>
        <v>4000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480000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1000000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1000000</v>
      </c>
      <c r="AA80" s="46">
        <f>SUM(B80:M80)</f>
        <v>1000000</v>
      </c>
      <c r="AB80" s="46">
        <f>SUM(B80:Y80)</f>
        <v>1000000</v>
      </c>
    </row>
    <row r="81" spans="1:30">
      <c r="A81" s="43" t="s">
        <v>51</v>
      </c>
      <c r="B81" s="46">
        <f>(SUM($AA$18:$AA$29)-SUM($AA$36,$AA$42,$AA$48,$AA$54,$AA$60,$AA$66,$AA$72:$AA$79))*Parameters!$B$37/12</f>
        <v>11866.66666666667</v>
      </c>
      <c r="C81" s="46">
        <f>(SUM($AA$18:$AA$29)-SUM($AA$36,$AA$42,$AA$48,$AA$54,$AA$60,$AA$66,$AA$72:$AA$79))*Parameters!$B$37/12</f>
        <v>11866.66666666667</v>
      </c>
      <c r="D81" s="46">
        <f>(SUM($AA$18:$AA$29)-SUM($AA$36,$AA$42,$AA$48,$AA$54,$AA$60,$AA$66,$AA$72:$AA$79))*Parameters!$B$37/12</f>
        <v>11866.66666666667</v>
      </c>
      <c r="E81" s="46">
        <f>(SUM($AA$18:$AA$29)-SUM($AA$36,$AA$42,$AA$48,$AA$54,$AA$60,$AA$66,$AA$72:$AA$79))*Parameters!$B$37/12</f>
        <v>11866.66666666667</v>
      </c>
      <c r="F81" s="46">
        <f>(SUM($AA$18:$AA$29)-SUM($AA$36,$AA$42,$AA$48,$AA$54,$AA$60,$AA$66,$AA$72:$AA$79))*Parameters!$B$37/12</f>
        <v>11866.66666666667</v>
      </c>
      <c r="G81" s="46">
        <f>(SUM($AA$18:$AA$29)-SUM($AA$36,$AA$42,$AA$48,$AA$54,$AA$60,$AA$66,$AA$72:$AA$79))*Parameters!$B$37/12</f>
        <v>11866.66666666667</v>
      </c>
      <c r="H81" s="46">
        <f>(SUM($AA$18:$AA$29)-SUM($AA$36,$AA$42,$AA$48,$AA$54,$AA$60,$AA$66,$AA$72:$AA$79))*Parameters!$B$37/12</f>
        <v>11866.66666666667</v>
      </c>
      <c r="I81" s="46">
        <f>(SUM($AA$18:$AA$29)-SUM($AA$36,$AA$42,$AA$48,$AA$54,$AA$60,$AA$66,$AA$72:$AA$79))*Parameters!$B$37/12</f>
        <v>11866.66666666667</v>
      </c>
      <c r="J81" s="46">
        <f>(SUM($AA$18:$AA$29)-SUM($AA$36,$AA$42,$AA$48,$AA$54,$AA$60,$AA$66,$AA$72:$AA$79))*Parameters!$B$37/12</f>
        <v>11866.66666666667</v>
      </c>
      <c r="K81" s="46">
        <f>(SUM($AA$18:$AA$29)-SUM($AA$36,$AA$42,$AA$48,$AA$54,$AA$60,$AA$66,$AA$72:$AA$79))*Parameters!$B$37/12</f>
        <v>11866.66666666667</v>
      </c>
      <c r="L81" s="46">
        <f>(SUM($AA$18:$AA$29)-SUM($AA$36,$AA$42,$AA$48,$AA$54,$AA$60,$AA$66,$AA$72:$AA$79))*Parameters!$B$37/12</f>
        <v>11866.66666666667</v>
      </c>
      <c r="M81" s="46">
        <f>(SUM($AA$18:$AA$29)-SUM($AA$36,$AA$42,$AA$48,$AA$54,$AA$60,$AA$66,$AA$72:$AA$79))*Parameters!$B$37/12</f>
        <v>11866.66666666667</v>
      </c>
      <c r="N81" s="46">
        <f>(SUM($AA$18:$AA$29)-SUM($AA$36,$AA$42,$AA$48,$AA$54,$AA$60,$AA$66,$AA$72:$AA$79))*Parameters!$B$37/12</f>
        <v>11866.66666666667</v>
      </c>
      <c r="O81" s="46">
        <f>(SUM($AA$18:$AA$29)-SUM($AA$36,$AA$42,$AA$48,$AA$54,$AA$60,$AA$66,$AA$72:$AA$79))*Parameters!$B$37/12</f>
        <v>11866.66666666667</v>
      </c>
      <c r="P81" s="46">
        <f>(SUM($AA$18:$AA$29)-SUM($AA$36,$AA$42,$AA$48,$AA$54,$AA$60,$AA$66,$AA$72:$AA$79))*Parameters!$B$37/12</f>
        <v>11866.66666666667</v>
      </c>
      <c r="Q81" s="46">
        <f>(SUM($AA$18:$AA$29)-SUM($AA$36,$AA$42,$AA$48,$AA$54,$AA$60,$AA$66,$AA$72:$AA$79))*Parameters!$B$37/12</f>
        <v>11866.66666666667</v>
      </c>
      <c r="R81" s="46">
        <f>(SUM($AA$18:$AA$29)-SUM($AA$36,$AA$42,$AA$48,$AA$54,$AA$60,$AA$66,$AA$72:$AA$79))*Parameters!$B$37/12</f>
        <v>11866.66666666667</v>
      </c>
      <c r="S81" s="46">
        <f>(SUM($AA$18:$AA$29)-SUM($AA$36,$AA$42,$AA$48,$AA$54,$AA$60,$AA$66,$AA$72:$AA$79))*Parameters!$B$37/12</f>
        <v>11866.66666666667</v>
      </c>
      <c r="T81" s="46">
        <f>(SUM($AA$18:$AA$29)-SUM($AA$36,$AA$42,$AA$48,$AA$54,$AA$60,$AA$66,$AA$72:$AA$79))*Parameters!$B$37/12</f>
        <v>11866.66666666667</v>
      </c>
      <c r="U81" s="46">
        <f>(SUM($AA$18:$AA$29)-SUM($AA$36,$AA$42,$AA$48,$AA$54,$AA$60,$AA$66,$AA$72:$AA$79))*Parameters!$B$37/12</f>
        <v>11866.66666666667</v>
      </c>
      <c r="V81" s="46">
        <f>(SUM($AA$18:$AA$29)-SUM($AA$36,$AA$42,$AA$48,$AA$54,$AA$60,$AA$66,$AA$72:$AA$79))*Parameters!$B$37/12</f>
        <v>11866.66666666667</v>
      </c>
      <c r="W81" s="46">
        <f>(SUM($AA$18:$AA$29)-SUM($AA$36,$AA$42,$AA$48,$AA$54,$AA$60,$AA$66,$AA$72:$AA$79))*Parameters!$B$37/12</f>
        <v>11866.66666666667</v>
      </c>
      <c r="X81" s="46">
        <f>(SUM($AA$18:$AA$29)-SUM($AA$36,$AA$42,$AA$48,$AA$54,$AA$60,$AA$66,$AA$72:$AA$79))*Parameters!$B$37/12</f>
        <v>11866.66666666667</v>
      </c>
      <c r="Y81" s="46">
        <f>(SUM($AA$18:$AA$29)-SUM($AA$36,$AA$42,$AA$48,$AA$54,$AA$60,$AA$66,$AA$72:$AA$79))*Parameters!$B$37/12</f>
        <v>11866.66666666667</v>
      </c>
      <c r="Z81" s="46">
        <f>SUMIF($B$13:$Y$13,"Yes",B81:Y81)</f>
        <v>284799.9999999999</v>
      </c>
      <c r="AA81" s="46">
        <f>SUM(B81:M81)</f>
        <v>142400</v>
      </c>
      <c r="AB81" s="46">
        <f>SUM(B81:Y81)</f>
        <v>284799.9999999999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31866.66666666666</v>
      </c>
      <c r="C88" s="19">
        <f>SUM(C72:C82,C66,C60,C54,C48,C42,C36)</f>
        <v>31866.66666666666</v>
      </c>
      <c r="D88" s="19">
        <f>SUM(D72:D82,D66,D60,D54,D48,D42,D36)</f>
        <v>35866.66666666666</v>
      </c>
      <c r="E88" s="19">
        <f>SUM(E72:E82,E66,E60,E54,E48,E42,E36)</f>
        <v>31866.66666666666</v>
      </c>
      <c r="F88" s="19">
        <f>SUM(F72:F82,F66,F60,F54,F48,F42,F36)</f>
        <v>1031866.666666667</v>
      </c>
      <c r="G88" s="19">
        <f>SUM(G72:G82,G66,G60,G54,G48,G42,G36)</f>
        <v>31866.66666666666</v>
      </c>
      <c r="H88" s="19">
        <f>SUM(H72:H82,H66,H60,H54,H48,H42,H36)</f>
        <v>31866.66666666666</v>
      </c>
      <c r="I88" s="19">
        <f>SUM(I72:I82,I66,I60,I54,I48,I42,I36)</f>
        <v>31866.66666666666</v>
      </c>
      <c r="J88" s="19">
        <f>SUM(J72:J82,J66,J60,J54,J48,J42,J36)</f>
        <v>31866.66666666666</v>
      </c>
      <c r="K88" s="19">
        <f>SUM(K72:K82,K66,K60,K54,K48,K42,K36)</f>
        <v>31866.66666666666</v>
      </c>
      <c r="L88" s="19">
        <f>SUM(L72:L82,L66,L60,L54,L48,L42,L36)</f>
        <v>31866.66666666666</v>
      </c>
      <c r="M88" s="19">
        <f>SUM(M72:M82,M66,M60,M54,M48,M42,M36)</f>
        <v>31866.66666666666</v>
      </c>
      <c r="N88" s="19">
        <f>SUM(N72:N82,N66,N60,N54,N48,N42,N36)</f>
        <v>31866.66666666666</v>
      </c>
      <c r="O88" s="19">
        <f>SUM(O72:O82,O66,O60,O54,O48,O42,O36)</f>
        <v>31866.66666666666</v>
      </c>
      <c r="P88" s="19">
        <f>SUM(P72:P82,P66,P60,P54,P48,P42,P36)</f>
        <v>35866.66666666666</v>
      </c>
      <c r="Q88" s="19">
        <f>SUM(Q72:Q82,Q66,Q60,Q54,Q48,Q42,Q36)</f>
        <v>31866.66666666666</v>
      </c>
      <c r="R88" s="19">
        <f>SUM(R72:R82,R66,R60,R54,R48,R42,R36)</f>
        <v>31866.66666666666</v>
      </c>
      <c r="S88" s="19">
        <f>SUM(S72:S82,S66,S60,S54,S48,S42,S36)</f>
        <v>31866.66666666666</v>
      </c>
      <c r="T88" s="19">
        <f>SUM(T72:T82,T66,T60,T54,T48,T42,T36)</f>
        <v>31866.66666666666</v>
      </c>
      <c r="U88" s="19">
        <f>SUM(U72:U82,U66,U60,U54,U48,U42,U36)</f>
        <v>31866.66666666666</v>
      </c>
      <c r="V88" s="19">
        <f>SUM(V72:V82,V66,V60,V54,V48,V42,V36)</f>
        <v>31866.66666666666</v>
      </c>
      <c r="W88" s="19">
        <f>SUM(W72:W82,W66,W60,W54,W48,W42,W36)</f>
        <v>31866.66666666666</v>
      </c>
      <c r="X88" s="19">
        <f>SUM(X72:X82,X66,X60,X54,X48,X42,X36)</f>
        <v>31866.66666666666</v>
      </c>
      <c r="Y88" s="19">
        <f>SUM(Y72:Y82,Y66,Y60,Y54,Y48,Y42,Y36)</f>
        <v>31866.66666666666</v>
      </c>
      <c r="Z88" s="19">
        <f>SUMIF($B$13:$Y$13,"Yes",B88:Y88)</f>
        <v>1772800.000000001</v>
      </c>
      <c r="AA88" s="19">
        <f>SUM(B88:M88)</f>
        <v>1386400</v>
      </c>
      <c r="AB88" s="19">
        <f>SUM(B88:Y88)</f>
        <v>1772800.000000001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3000000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570000</v>
      </c>
    </row>
    <row r="98" spans="1:30">
      <c r="A98" t="s">
        <v>64</v>
      </c>
      <c r="B98" s="36">
        <f>IF(Inputs!B44="Yes",Inputs!B45,0)</f>
        <v>800000</v>
      </c>
    </row>
    <row r="99" spans="1:30">
      <c r="A99" t="s">
        <v>65</v>
      </c>
      <c r="B99" s="36">
        <f>Inputs!B46</f>
        <v>1000000</v>
      </c>
    </row>
    <row r="100" spans="1:30" customHeight="1" ht="15.75">
      <c r="A100" s="18" t="s">
        <v>66</v>
      </c>
      <c r="B100" s="37">
        <f>Inputs!B48</f>
        <v>7000000</v>
      </c>
    </row>
    <row r="101" spans="1:30" customHeight="1" ht="15.75">
      <c r="A101" s="1" t="s">
        <v>67</v>
      </c>
      <c r="B101" s="19">
        <f>SUM(B94:B100)</f>
        <v>12520000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3000000</v>
      </c>
    </row>
    <row r="107" spans="1:30" customHeight="1" ht="15.75">
      <c r="A107" s="1" t="s">
        <v>72</v>
      </c>
      <c r="B107" s="19">
        <f>SUM(B104:B106)</f>
        <v>3050000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89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95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5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50000</v>
      </c>
    </row>
    <row r="31" spans="1:48">
      <c r="A31" s="5" t="s">
        <v>115</v>
      </c>
      <c r="B31" s="158">
        <v>20000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 t="s">
        <v>121</v>
      </c>
      <c r="B35" s="159">
        <v>1000000</v>
      </c>
      <c r="C35" s="145" t="s">
        <v>122</v>
      </c>
      <c r="D35" s="49">
        <f>IFERROR(VLOOKUP(C35,Parameters!$C$79:$D$90,2,0),"")</f>
        <v>1</v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800000</v>
      </c>
    </row>
    <row r="46" spans="1:48" customHeight="1" ht="30">
      <c r="A46" s="57" t="s">
        <v>131</v>
      </c>
      <c r="B46" s="161">
        <v>1000000</v>
      </c>
    </row>
    <row r="47" spans="1:48" customHeight="1" ht="30">
      <c r="A47" s="57" t="s">
        <v>132</v>
      </c>
      <c r="B47" s="161">
        <v>3000000</v>
      </c>
    </row>
    <row r="48" spans="1:48" customHeight="1" ht="30">
      <c r="A48" s="57" t="s">
        <v>133</v>
      </c>
      <c r="B48" s="161">
        <v>7000000</v>
      </c>
    </row>
    <row r="49" spans="1:48" customHeight="1" ht="30">
      <c r="A49" s="57" t="s">
        <v>134</v>
      </c>
      <c r="B49" s="161">
        <v>150000</v>
      </c>
    </row>
    <row r="50" spans="1:48">
      <c r="A50" s="43"/>
      <c r="B50" s="36"/>
    </row>
    <row r="51" spans="1:48">
      <c r="A51" s="58" t="s">
        <v>135</v>
      </c>
      <c r="B51" s="161">
        <v>50000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1224386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147</v>
      </c>
      <c r="C65" s="10" t="s">
        <v>148</v>
      </c>
    </row>
    <row r="66" spans="1:48">
      <c r="A66" s="142" t="s">
        <v>149</v>
      </c>
      <c r="B66" s="159">
        <v>756850</v>
      </c>
      <c r="C66" s="163">
        <v>701254</v>
      </c>
      <c r="D66" s="49">
        <f>INDEX(Parameters!$D$79:$D$90,MATCH(Inputs!A66,Parameters!$C$79:$C$90,0))</f>
        <v>2</v>
      </c>
    </row>
    <row r="67" spans="1:48">
      <c r="A67" s="143" t="s">
        <v>150</v>
      </c>
      <c r="B67" s="157">
        <v>1306193</v>
      </c>
      <c r="C67" s="165">
        <v>1204588</v>
      </c>
      <c r="D67" s="49">
        <f>INDEX(Parameters!$D$79:$D$90,MATCH(Inputs!A67,Parameters!$C$79:$C$90,0))</f>
        <v>3</v>
      </c>
    </row>
    <row r="68" spans="1:48">
      <c r="A68" s="143" t="s">
        <v>151</v>
      </c>
      <c r="B68" s="157">
        <v>829454</v>
      </c>
      <c r="C68" s="165">
        <v>765200</v>
      </c>
      <c r="D68" s="49">
        <f>INDEX(Parameters!$D$79:$D$90,MATCH(Inputs!A68,Parameters!$C$79:$C$90,0))</f>
        <v>4</v>
      </c>
    </row>
    <row r="69" spans="1:48">
      <c r="A69" s="143" t="s">
        <v>152</v>
      </c>
      <c r="B69" s="157">
        <v>818632</v>
      </c>
      <c r="C69" s="165">
        <v>774585</v>
      </c>
      <c r="D69" s="49">
        <f>INDEX(Parameters!$D$79:$D$90,MATCH(Inputs!A69,Parameters!$C$79:$C$90,0))</f>
        <v>5</v>
      </c>
    </row>
    <row r="70" spans="1:48">
      <c r="A70" s="143" t="s">
        <v>153</v>
      </c>
      <c r="B70" s="157">
        <v>969920</v>
      </c>
      <c r="C70" s="165">
        <v>890215</v>
      </c>
      <c r="D70" s="49">
        <f>INDEX(Parameters!$D$79:$D$90,MATCH(Inputs!A70,Parameters!$C$79:$C$90,0))</f>
        <v>6</v>
      </c>
    </row>
    <row r="71" spans="1:48">
      <c r="A71" s="144" t="s">
        <v>154</v>
      </c>
      <c r="B71" s="158">
        <v>620865</v>
      </c>
      <c r="C71" s="167">
        <v>570210</v>
      </c>
      <c r="D71" s="49">
        <f>INDEX(Parameters!$D$79:$D$90,MATCH(Inputs!A71,Parameters!$C$79:$C$90,0))</f>
        <v>7</v>
      </c>
    </row>
    <row r="73" spans="1:48">
      <c r="A73" s="3" t="s">
        <v>155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156</v>
      </c>
      <c r="B75" s="161">
        <v>12</v>
      </c>
    </row>
    <row r="76" spans="1:48">
      <c r="A76" t="s">
        <v>157</v>
      </c>
      <c r="B76" s="168" t="s">
        <v>158</v>
      </c>
    </row>
    <row r="78" spans="1:48" customHeight="1" ht="20.25">
      <c r="B78" s="127" t="s">
        <v>159</v>
      </c>
    </row>
    <row r="79" spans="1:48">
      <c r="A79" t="s">
        <v>160</v>
      </c>
      <c r="B79" s="168" t="s">
        <v>158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3000000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36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42979</v>
      </c>
      <c r="AD3" s="59">
        <f>Output!C5</f>
        <v>43009</v>
      </c>
      <c r="AE3" s="59">
        <f>Output!D5</f>
        <v>43040</v>
      </c>
      <c r="AF3" s="59">
        <f>Output!E5</f>
        <v>43070</v>
      </c>
      <c r="AG3" s="59">
        <f>Output!F5</f>
        <v>43101</v>
      </c>
      <c r="AH3" s="59">
        <f>Output!G5</f>
        <v>43132</v>
      </c>
      <c r="AI3" s="59">
        <f>Output!H5</f>
        <v>43160</v>
      </c>
      <c r="AJ3" s="59">
        <f>Output!I5</f>
        <v>43191</v>
      </c>
      <c r="AK3" s="59">
        <f>Output!J5</f>
        <v>43221</v>
      </c>
      <c r="AL3" s="59">
        <f>Output!K5</f>
        <v>43252</v>
      </c>
      <c r="AM3" s="59">
        <f>Output!L5</f>
        <v>43282</v>
      </c>
      <c r="AN3" s="59">
        <f>Output!M5</f>
        <v>43313</v>
      </c>
      <c r="AO3" s="59">
        <f>Output!N5</f>
        <v>43344</v>
      </c>
      <c r="AP3" s="59">
        <f>Output!O5</f>
        <v>43374</v>
      </c>
      <c r="AQ3" s="59">
        <f>Output!P5</f>
        <v>43405</v>
      </c>
      <c r="AR3" s="59">
        <f>Output!Q5</f>
        <v>43435</v>
      </c>
      <c r="AS3" s="59">
        <f>Output!R5</f>
        <v>43466</v>
      </c>
      <c r="AT3" s="59">
        <f>Output!S5</f>
        <v>43497</v>
      </c>
      <c r="AU3" s="59">
        <f>Output!T5</f>
        <v>43525</v>
      </c>
      <c r="AV3" s="59">
        <f>Output!U5</f>
        <v>43556</v>
      </c>
      <c r="AW3" s="59">
        <f>Output!V5</f>
        <v>43586</v>
      </c>
      <c r="AX3" s="59">
        <f>Output!W5</f>
        <v>43617</v>
      </c>
      <c r="AY3" s="59">
        <f>Output!X5</f>
        <v>43647</v>
      </c>
      <c r="AZ3" s="59">
        <f>Output!Y5</f>
        <v>43678</v>
      </c>
    </row>
    <row r="4" spans="1:52" s="21" customFormat="1">
      <c r="A4" s="20" t="str">
        <f>Inputs!A7</f>
        <v>Other crops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43040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43040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9</v>
      </c>
      <c r="AD6" s="22">
        <f>IF($A6=0,1/12,IFERROR(INDEX(Parameters!$X$2:$AI$17,MATCH(Calculations!$A6,Parameters!$A$2:$A$17,0),MONTH(Calculations!AD$3)),1/12))</f>
        <v>10</v>
      </c>
      <c r="AE6" s="22">
        <f>IF($A6=0,1/12,IFERROR(INDEX(Parameters!$X$2:$AI$17,MATCH(Calculations!$A6,Parameters!$A$2:$A$17,0),MONTH(Calculations!AE$3)),1/12))</f>
        <v>11</v>
      </c>
      <c r="AF6" s="22">
        <f>IF($A6=0,1/12,IFERROR(INDEX(Parameters!$X$2:$AI$17,MATCH(Calculations!$A6,Parameters!$A$2:$A$17,0),MONTH(Calculations!AF$3)),1/12))</f>
        <v>12</v>
      </c>
      <c r="AG6" s="22">
        <f>IF($A6=0,1/12,IFERROR(INDEX(Parameters!$X$2:$AI$17,MATCH(Calculations!$A6,Parameters!$A$2:$A$17,0),MONTH(Calculations!AG$3)),1/12))</f>
        <v>1</v>
      </c>
      <c r="AH6" s="22">
        <f>IF($A6=0,1/12,IFERROR(INDEX(Parameters!$X$2:$AI$17,MATCH(Calculations!$A6,Parameters!$A$2:$A$17,0),MONTH(Calculations!AH$3)),1/12))</f>
        <v>2</v>
      </c>
      <c r="AI6" s="22">
        <f>IF($A6=0,1/12,IFERROR(INDEX(Parameters!$X$2:$AI$17,MATCH(Calculations!$A6,Parameters!$A$2:$A$17,0),MONTH(Calculations!AI$3)),1/12))</f>
        <v>3</v>
      </c>
      <c r="AJ6" s="22">
        <f>IF($A6=0,1/12,IFERROR(INDEX(Parameters!$X$2:$AI$17,MATCH(Calculations!$A6,Parameters!$A$2:$A$17,0),MONTH(Calculations!AJ$3)),1/12))</f>
        <v>4</v>
      </c>
      <c r="AK6" s="22">
        <f>IF($A6=0,1/12,IFERROR(INDEX(Parameters!$X$2:$AI$17,MATCH(Calculations!$A6,Parameters!$A$2:$A$17,0),MONTH(Calculations!AK$3)),1/12))</f>
        <v>5</v>
      </c>
      <c r="AL6" s="22">
        <f>IF($A6=0,1/12,IFERROR(INDEX(Parameters!$X$2:$AI$17,MATCH(Calculations!$A6,Parameters!$A$2:$A$17,0),MONTH(Calculations!AL$3)),1/12))</f>
        <v>6</v>
      </c>
      <c r="AM6" s="22">
        <f>IF($A6=0,1/12,IFERROR(INDEX(Parameters!$X$2:$AI$17,MATCH(Calculations!$A6,Parameters!$A$2:$A$17,0),MONTH(Calculations!AM$3)),1/12))</f>
        <v>7</v>
      </c>
      <c r="AN6" s="22">
        <f>IF($A6=0,1/12,IFERROR(INDEX(Parameters!$X$2:$AI$17,MATCH(Calculations!$A6,Parameters!$A$2:$A$17,0),MONTH(Calculations!AN$3)),1/12))</f>
        <v>8</v>
      </c>
      <c r="AO6" s="22">
        <f>IF($A6=0,1/12,IFERROR(INDEX(Parameters!$X$2:$AI$17,MATCH(Calculations!$A6,Parameters!$A$2:$A$17,0),MONTH(Calculations!AO$3)),1/12))</f>
        <v>9</v>
      </c>
      <c r="AP6" s="22">
        <f>IF($A6=0,1/12,IFERROR(INDEX(Parameters!$X$2:$AI$17,MATCH(Calculations!$A6,Parameters!$A$2:$A$17,0),MONTH(Calculations!AP$3)),1/12))</f>
        <v>10</v>
      </c>
      <c r="AQ6" s="22">
        <f>IF($A6=0,1/12,IFERROR(INDEX(Parameters!$X$2:$AI$17,MATCH(Calculations!$A6,Parameters!$A$2:$A$17,0),MONTH(Calculations!AQ$3)),1/12))</f>
        <v>11</v>
      </c>
      <c r="AR6" s="22">
        <f>IF($A6=0,1/12,IFERROR(INDEX(Parameters!$X$2:$AI$17,MATCH(Calculations!$A6,Parameters!$A$2:$A$17,0),MONTH(Calculations!AR$3)),1/12))</f>
        <v>12</v>
      </c>
      <c r="AS6" s="22">
        <f>IF($A6=0,1/12,IFERROR(INDEX(Parameters!$X$2:$AI$17,MATCH(Calculations!$A6,Parameters!$A$2:$A$17,0),MONTH(Calculations!AS$3)),1/12))</f>
        <v>1</v>
      </c>
      <c r="AT6" s="22">
        <f>IF($A6=0,1/12,IFERROR(INDEX(Parameters!$X$2:$AI$17,MATCH(Calculations!$A6,Parameters!$A$2:$A$17,0),MONTH(Calculations!AT$3)),1/12))</f>
        <v>2</v>
      </c>
      <c r="AU6" s="22">
        <f>IF($A6=0,1/12,IFERROR(INDEX(Parameters!$X$2:$AI$17,MATCH(Calculations!$A6,Parameters!$A$2:$A$17,0),MONTH(Calculations!AU$3)),1/12))</f>
        <v>3</v>
      </c>
      <c r="AV6" s="22">
        <f>IF($A6=0,1/12,IFERROR(INDEX(Parameters!$X$2:$AI$17,MATCH(Calculations!$A6,Parameters!$A$2:$A$17,0),MONTH(Calculations!AV$3)),1/12))</f>
        <v>4</v>
      </c>
      <c r="AW6" s="22">
        <f>IF($A6=0,1/12,IFERROR(INDEX(Parameters!$X$2:$AI$17,MATCH(Calculations!$A6,Parameters!$A$2:$A$17,0),MONTH(Calculations!AW$3)),1/12))</f>
        <v>5</v>
      </c>
      <c r="AX6" s="22">
        <f>IF($A6=0,1/12,IFERROR(INDEX(Parameters!$X$2:$AI$17,MATCH(Calculations!$A6,Parameters!$A$2:$A$17,0),MONTH(Calculations!AX$3)),1/12))</f>
        <v>6</v>
      </c>
      <c r="AY6" s="22">
        <f>IF($A6=0,1/12,IFERROR(INDEX(Parameters!$X$2:$AI$17,MATCH(Calculations!$A6,Parameters!$A$2:$A$17,0),MONTH(Calculations!AY$3)),1/12))</f>
        <v>7</v>
      </c>
      <c r="AZ6" s="22">
        <f>IF($A6=0,1/12,IFERROR(INDEX(Parameters!$X$2:$AI$17,MATCH(Calculations!$A6,Parameters!$A$2:$A$17,0),MONTH(Calculations!AZ$3)),1/12))</f>
        <v>8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9</v>
      </c>
      <c r="AD7" s="22">
        <f>IF($A7=0,1/12,IFERROR(INDEX(Parameters!$X$2:$AI$17,MATCH(Calculations!$A7,Parameters!$A$2:$A$17,0),MONTH(Calculations!AD$3)),1/12))</f>
        <v>10</v>
      </c>
      <c r="AE7" s="22">
        <f>IF($A7=0,1/12,IFERROR(INDEX(Parameters!$X$2:$AI$17,MATCH(Calculations!$A7,Parameters!$A$2:$A$17,0),MONTH(Calculations!AE$3)),1/12))</f>
        <v>11</v>
      </c>
      <c r="AF7" s="22">
        <f>IF($A7=0,1/12,IFERROR(INDEX(Parameters!$X$2:$AI$17,MATCH(Calculations!$A7,Parameters!$A$2:$A$17,0),MONTH(Calculations!AF$3)),1/12))</f>
        <v>12</v>
      </c>
      <c r="AG7" s="22">
        <f>IF($A7=0,1/12,IFERROR(INDEX(Parameters!$X$2:$AI$17,MATCH(Calculations!$A7,Parameters!$A$2:$A$17,0),MONTH(Calculations!AG$3)),1/12))</f>
        <v>1</v>
      </c>
      <c r="AH7" s="22">
        <f>IF($A7=0,1/12,IFERROR(INDEX(Parameters!$X$2:$AI$17,MATCH(Calculations!$A7,Parameters!$A$2:$A$17,0),MONTH(Calculations!AH$3)),1/12))</f>
        <v>2</v>
      </c>
      <c r="AI7" s="22">
        <f>IF($A7=0,1/12,IFERROR(INDEX(Parameters!$X$2:$AI$17,MATCH(Calculations!$A7,Parameters!$A$2:$A$17,0),MONTH(Calculations!AI$3)),1/12))</f>
        <v>3</v>
      </c>
      <c r="AJ7" s="22">
        <f>IF($A7=0,1/12,IFERROR(INDEX(Parameters!$X$2:$AI$17,MATCH(Calculations!$A7,Parameters!$A$2:$A$17,0),MONTH(Calculations!AJ$3)),1/12))</f>
        <v>4</v>
      </c>
      <c r="AK7" s="22">
        <f>IF($A7=0,1/12,IFERROR(INDEX(Parameters!$X$2:$AI$17,MATCH(Calculations!$A7,Parameters!$A$2:$A$17,0),MONTH(Calculations!AK$3)),1/12))</f>
        <v>5</v>
      </c>
      <c r="AL7" s="22">
        <f>IF($A7=0,1/12,IFERROR(INDEX(Parameters!$X$2:$AI$17,MATCH(Calculations!$A7,Parameters!$A$2:$A$17,0),MONTH(Calculations!AL$3)),1/12))</f>
        <v>6</v>
      </c>
      <c r="AM7" s="22">
        <f>IF($A7=0,1/12,IFERROR(INDEX(Parameters!$X$2:$AI$17,MATCH(Calculations!$A7,Parameters!$A$2:$A$17,0),MONTH(Calculations!AM$3)),1/12))</f>
        <v>7</v>
      </c>
      <c r="AN7" s="22">
        <f>IF($A7=0,1/12,IFERROR(INDEX(Parameters!$X$2:$AI$17,MATCH(Calculations!$A7,Parameters!$A$2:$A$17,0),MONTH(Calculations!AN$3)),1/12))</f>
        <v>8</v>
      </c>
      <c r="AO7" s="22">
        <f>IF($A7=0,1/12,IFERROR(INDEX(Parameters!$X$2:$AI$17,MATCH(Calculations!$A7,Parameters!$A$2:$A$17,0),MONTH(Calculations!AO$3)),1/12))</f>
        <v>9</v>
      </c>
      <c r="AP7" s="22">
        <f>IF($A7=0,1/12,IFERROR(INDEX(Parameters!$X$2:$AI$17,MATCH(Calculations!$A7,Parameters!$A$2:$A$17,0),MONTH(Calculations!AP$3)),1/12))</f>
        <v>10</v>
      </c>
      <c r="AQ7" s="22">
        <f>IF($A7=0,1/12,IFERROR(INDEX(Parameters!$X$2:$AI$17,MATCH(Calculations!$A7,Parameters!$A$2:$A$17,0),MONTH(Calculations!AQ$3)),1/12))</f>
        <v>11</v>
      </c>
      <c r="AR7" s="22">
        <f>IF($A7=0,1/12,IFERROR(INDEX(Parameters!$X$2:$AI$17,MATCH(Calculations!$A7,Parameters!$A$2:$A$17,0),MONTH(Calculations!AR$3)),1/12))</f>
        <v>12</v>
      </c>
      <c r="AS7" s="22">
        <f>IF($A7=0,1/12,IFERROR(INDEX(Parameters!$X$2:$AI$17,MATCH(Calculations!$A7,Parameters!$A$2:$A$17,0),MONTH(Calculations!AS$3)),1/12))</f>
        <v>1</v>
      </c>
      <c r="AT7" s="22">
        <f>IF($A7=0,1/12,IFERROR(INDEX(Parameters!$X$2:$AI$17,MATCH(Calculations!$A7,Parameters!$A$2:$A$17,0),MONTH(Calculations!AT$3)),1/12))</f>
        <v>2</v>
      </c>
      <c r="AU7" s="22">
        <f>IF($A7=0,1/12,IFERROR(INDEX(Parameters!$X$2:$AI$17,MATCH(Calculations!$A7,Parameters!$A$2:$A$17,0),MONTH(Calculations!AU$3)),1/12))</f>
        <v>3</v>
      </c>
      <c r="AV7" s="22">
        <f>IF($A7=0,1/12,IFERROR(INDEX(Parameters!$X$2:$AI$17,MATCH(Calculations!$A7,Parameters!$A$2:$A$17,0),MONTH(Calculations!AV$3)),1/12))</f>
        <v>4</v>
      </c>
      <c r="AW7" s="22">
        <f>IF($A7=0,1/12,IFERROR(INDEX(Parameters!$X$2:$AI$17,MATCH(Calculations!$A7,Parameters!$A$2:$A$17,0),MONTH(Calculations!AW$3)),1/12))</f>
        <v>5</v>
      </c>
      <c r="AX7" s="22">
        <f>IF($A7=0,1/12,IFERROR(INDEX(Parameters!$X$2:$AI$17,MATCH(Calculations!$A7,Parameters!$A$2:$A$17,0),MONTH(Calculations!AX$3)),1/12))</f>
        <v>6</v>
      </c>
      <c r="AY7" s="22">
        <f>IF($A7=0,1/12,IFERROR(INDEX(Parameters!$X$2:$AI$17,MATCH(Calculations!$A7,Parameters!$A$2:$A$17,0),MONTH(Calculations!AY$3)),1/12))</f>
        <v>7</v>
      </c>
      <c r="AZ7" s="22">
        <f>IF($A7=0,1/12,IFERROR(INDEX(Parameters!$X$2:$AI$17,MATCH(Calculations!$A7,Parameters!$A$2:$A$17,0),MONTH(Calculations!AZ$3)),1/12))</f>
        <v>8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9</v>
      </c>
      <c r="AD8" s="24">
        <f>IF($A8=0,1/12,IFERROR(INDEX(Parameters!$X$2:$AI$17,MATCH(Calculations!$A8,Parameters!$A$2:$A$17,0),MONTH(Calculations!AD$3)),1/12))</f>
        <v>10</v>
      </c>
      <c r="AE8" s="24">
        <f>IF($A8=0,1/12,IFERROR(INDEX(Parameters!$X$2:$AI$17,MATCH(Calculations!$A8,Parameters!$A$2:$A$17,0),MONTH(Calculations!AE$3)),1/12))</f>
        <v>11</v>
      </c>
      <c r="AF8" s="24">
        <f>IF($A8=0,1/12,IFERROR(INDEX(Parameters!$X$2:$AI$17,MATCH(Calculations!$A8,Parameters!$A$2:$A$17,0),MONTH(Calculations!AF$3)),1/12))</f>
        <v>12</v>
      </c>
      <c r="AG8" s="24">
        <f>IF($A8=0,1/12,IFERROR(INDEX(Parameters!$X$2:$AI$17,MATCH(Calculations!$A8,Parameters!$A$2:$A$17,0),MONTH(Calculations!AG$3)),1/12))</f>
        <v>1</v>
      </c>
      <c r="AH8" s="24">
        <f>IF($A8=0,1/12,IFERROR(INDEX(Parameters!$X$2:$AI$17,MATCH(Calculations!$A8,Parameters!$A$2:$A$17,0),MONTH(Calculations!AH$3)),1/12))</f>
        <v>2</v>
      </c>
      <c r="AI8" s="24">
        <f>IF($A8=0,1/12,IFERROR(INDEX(Parameters!$X$2:$AI$17,MATCH(Calculations!$A8,Parameters!$A$2:$A$17,0),MONTH(Calculations!AI$3)),1/12))</f>
        <v>3</v>
      </c>
      <c r="AJ8" s="24">
        <f>IF($A8=0,1/12,IFERROR(INDEX(Parameters!$X$2:$AI$17,MATCH(Calculations!$A8,Parameters!$A$2:$A$17,0),MONTH(Calculations!AJ$3)),1/12))</f>
        <v>4</v>
      </c>
      <c r="AK8" s="24">
        <f>IF($A8=0,1/12,IFERROR(INDEX(Parameters!$X$2:$AI$17,MATCH(Calculations!$A8,Parameters!$A$2:$A$17,0),MONTH(Calculations!AK$3)),1/12))</f>
        <v>5</v>
      </c>
      <c r="AL8" s="24">
        <f>IF($A8=0,1/12,IFERROR(INDEX(Parameters!$X$2:$AI$17,MATCH(Calculations!$A8,Parameters!$A$2:$A$17,0),MONTH(Calculations!AL$3)),1/12))</f>
        <v>6</v>
      </c>
      <c r="AM8" s="24">
        <f>IF($A8=0,1/12,IFERROR(INDEX(Parameters!$X$2:$AI$17,MATCH(Calculations!$A8,Parameters!$A$2:$A$17,0),MONTH(Calculations!AM$3)),1/12))</f>
        <v>7</v>
      </c>
      <c r="AN8" s="24">
        <f>IF($A8=0,1/12,IFERROR(INDEX(Parameters!$X$2:$AI$17,MATCH(Calculations!$A8,Parameters!$A$2:$A$17,0),MONTH(Calculations!AN$3)),1/12))</f>
        <v>8</v>
      </c>
      <c r="AO8" s="24">
        <f>IF($A8=0,1/12,IFERROR(INDEX(Parameters!$X$2:$AI$17,MATCH(Calculations!$A8,Parameters!$A$2:$A$17,0),MONTH(Calculations!AO$3)),1/12))</f>
        <v>9</v>
      </c>
      <c r="AP8" s="24">
        <f>IF($A8=0,1/12,IFERROR(INDEX(Parameters!$X$2:$AI$17,MATCH(Calculations!$A8,Parameters!$A$2:$A$17,0),MONTH(Calculations!AP$3)),1/12))</f>
        <v>10</v>
      </c>
      <c r="AQ8" s="24">
        <f>IF($A8=0,1/12,IFERROR(INDEX(Parameters!$X$2:$AI$17,MATCH(Calculations!$A8,Parameters!$A$2:$A$17,0),MONTH(Calculations!AQ$3)),1/12))</f>
        <v>11</v>
      </c>
      <c r="AR8" s="24">
        <f>IF($A8=0,1/12,IFERROR(INDEX(Parameters!$X$2:$AI$17,MATCH(Calculations!$A8,Parameters!$A$2:$A$17,0),MONTH(Calculations!AR$3)),1/12))</f>
        <v>12</v>
      </c>
      <c r="AS8" s="24">
        <f>IF($A8=0,1/12,IFERROR(INDEX(Parameters!$X$2:$AI$17,MATCH(Calculations!$A8,Parameters!$A$2:$A$17,0),MONTH(Calculations!AS$3)),1/12))</f>
        <v>1</v>
      </c>
      <c r="AT8" s="24">
        <f>IF($A8=0,1/12,IFERROR(INDEX(Parameters!$X$2:$AI$17,MATCH(Calculations!$A8,Parameters!$A$2:$A$17,0),MONTH(Calculations!AT$3)),1/12))</f>
        <v>2</v>
      </c>
      <c r="AU8" s="24">
        <f>IF($A8=0,1/12,IFERROR(INDEX(Parameters!$X$2:$AI$17,MATCH(Calculations!$A8,Parameters!$A$2:$A$17,0),MONTH(Calculations!AU$3)),1/12))</f>
        <v>3</v>
      </c>
      <c r="AV8" s="24">
        <f>IF($A8=0,1/12,IFERROR(INDEX(Parameters!$X$2:$AI$17,MATCH(Calculations!$A8,Parameters!$A$2:$A$17,0),MONTH(Calculations!AV$3)),1/12))</f>
        <v>4</v>
      </c>
      <c r="AW8" s="24">
        <f>IF($A8=0,1/12,IFERROR(INDEX(Parameters!$X$2:$AI$17,MATCH(Calculations!$A8,Parameters!$A$2:$A$17,0),MONTH(Calculations!AW$3)),1/12))</f>
        <v>5</v>
      </c>
      <c r="AX8" s="24">
        <f>IF($A8=0,1/12,IFERROR(INDEX(Parameters!$X$2:$AI$17,MATCH(Calculations!$A8,Parameters!$A$2:$A$17,0),MONTH(Calculations!AX$3)),1/12))</f>
        <v>6</v>
      </c>
      <c r="AY8" s="24">
        <f>IF($A8=0,1/12,IFERROR(INDEX(Parameters!$X$2:$AI$17,MATCH(Calculations!$A8,Parameters!$A$2:$A$17,0),MONTH(Calculations!AY$3)),1/12))</f>
        <v>7</v>
      </c>
      <c r="AZ8" s="24">
        <f>IF($A8=0,1/12,IFERROR(INDEX(Parameters!$X$2:$AI$17,MATCH(Calculations!$A8,Parameters!$A$2:$A$17,0),MONTH(Calculations!AZ$3)),1/12))</f>
        <v>8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1224386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43014</v>
      </c>
      <c r="C33" s="27">
        <f>IF(B33&lt;&gt;"",IF(COUNT($A$33:A33)&lt;=$G$39,0,$G$41)+IF(COUNT($A$33:A33)&lt;=$G$40,0,$G$42),0)</f>
        <v>133333.3333333333</v>
      </c>
      <c r="D33" s="170">
        <f>IFERROR(DATE(YEAR(B33),MONTH(B33),1)," ")</f>
        <v>43009</v>
      </c>
      <c r="F33" t="s">
        <v>160</v>
      </c>
      <c r="G33" s="128">
        <f>IF(Inputs!B79="","",DATE(YEAR(Inputs!B79),MONTH(Inputs!B79),DAY(Inputs!B79)))</f>
        <v>42984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43045</v>
      </c>
      <c r="C34" s="27">
        <f>IF(B34&lt;&gt;"",IF(COUNT($A$33:A34)&lt;=$G$39,0,$G$41)+IF(COUNT($A$33:A34)&lt;=$G$40,0,$G$42),0)</f>
        <v>133333.3333333333</v>
      </c>
      <c r="D34" s="170">
        <f>IFERROR(DATE(YEAR(B34),MONTH(B34),1)," ")</f>
        <v>43040</v>
      </c>
      <c r="F34" t="s">
        <v>161</v>
      </c>
      <c r="G34" s="128">
        <f>IF(Inputs!B80="","",DATE(YEAR(Inputs!B80),MONTH(Inputs!B80),DAY(Inputs!B80)))</f>
        <v>43014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43075</v>
      </c>
      <c r="C35" s="27">
        <f>IF(B35&lt;&gt;"",IF(COUNT($A$33:A35)&lt;=$G$39,0,$G$41)+IF(COUNT($A$33:A35)&lt;=$G$40,0,$G$42),0)</f>
        <v>133333.3333333333</v>
      </c>
      <c r="D35" s="170">
        <f>IFERROR(DATE(YEAR(B35),MONTH(B35),1)," ")</f>
        <v>43070</v>
      </c>
      <c r="F35" t="s">
        <v>163</v>
      </c>
      <c r="G35" s="27">
        <f>Inputs!B81</f>
        <v>3000000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43106</v>
      </c>
      <c r="C36" s="27">
        <f>IF(B36&lt;&gt;"",IF(COUNT($A$33:A36)&lt;=$G$39,0,$G$41)+IF(COUNT($A$33:A36)&lt;=$G$40,0,$G$42),0)</f>
        <v>133333.3333333333</v>
      </c>
      <c r="D36" s="170">
        <f>IFERROR(DATE(YEAR(B36),MONTH(B36),1)," ")</f>
        <v>43101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43137</v>
      </c>
      <c r="C37" s="27">
        <f>IF(B37&lt;&gt;"",IF(COUNT($A$33:A37)&lt;=$G$39,0,$G$41)+IF(COUNT($A$33:A37)&lt;=$G$40,0,$G$42),0)</f>
        <v>133333.3333333333</v>
      </c>
      <c r="D37" s="170">
        <f>IFERROR(DATE(YEAR(B37),MONTH(B37),1)," ")</f>
        <v>43132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43165</v>
      </c>
      <c r="C38" s="27">
        <f>IF(B38&lt;&gt;"",IF(COUNT($A$33:A38)&lt;=$G$39,0,$G$41)+IF(COUNT($A$33:A38)&lt;=$G$40,0,$G$42),0)</f>
        <v>133333.3333333333</v>
      </c>
      <c r="D38" s="170">
        <f>IFERROR(DATE(YEAR(B38),MONTH(B38),1)," ")</f>
        <v>43160</v>
      </c>
      <c r="F38" t="s">
        <v>226</v>
      </c>
      <c r="G38" s="27">
        <f>IFERROR(Inputs!B85/Inputs!B84,"")</f>
        <v>36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43196</v>
      </c>
      <c r="C39" s="27">
        <f>IF(B39&lt;&gt;"",IF(COUNT($A$33:A39)&lt;=$G$39,0,$G$41)+IF(COUNT($A$33:A39)&lt;=$G$40,0,$G$42),0)</f>
        <v>133333.3333333333</v>
      </c>
      <c r="D39" s="170">
        <f>IFERROR(DATE(YEAR(B39),MONTH(B39),1)," ")</f>
        <v>43191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43226</v>
      </c>
      <c r="C40" s="27">
        <f>IF(B40&lt;&gt;"",IF(COUNT($A$33:A40)&lt;=$G$39,0,$G$41)+IF(COUNT($A$33:A40)&lt;=$G$40,0,$G$42),0)</f>
        <v>133333.3333333333</v>
      </c>
      <c r="D40" s="170">
        <f>IFERROR(DATE(YEAR(B40),MONTH(B40),1)," ")</f>
        <v>43221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43257</v>
      </c>
      <c r="C41" s="27">
        <f>IF(B41&lt;&gt;"",IF(COUNT($A$33:A41)&lt;=$G$39,0,$G$41)+IF(COUNT($A$33:A41)&lt;=$G$40,0,$G$42),0)</f>
        <v>133333.3333333333</v>
      </c>
      <c r="D41" s="170">
        <f>IFERROR(DATE(YEAR(B41),MONTH(B41),1)," ")</f>
        <v>43252</v>
      </c>
      <c r="F41" t="s">
        <v>227</v>
      </c>
      <c r="G41" s="73">
        <f>IFERROR(G35/(G38-G39),"")</f>
        <v>83333.33333333333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43287</v>
      </c>
      <c r="C42" s="27">
        <f>IF(B42&lt;&gt;"",IF(COUNT($A$33:A42)&lt;=$G$39,0,$G$41)+IF(COUNT($A$33:A42)&lt;=$G$40,0,$G$42),0)</f>
        <v>133333.3333333333</v>
      </c>
      <c r="D42" s="170">
        <f>IFERROR(DATE(YEAR(B42),MONTH(B42),1)," ")</f>
        <v>43282</v>
      </c>
      <c r="F42" t="s">
        <v>228</v>
      </c>
      <c r="G42" s="73">
        <f>IFERROR(G35*G36*IF(G37="Monthly",G38/12,IF(G37="Fortnightly",G38/(365/14),G38/(365/28)))/(G38-G40),"")</f>
        <v>50000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43318</v>
      </c>
      <c r="C43" s="27">
        <f>IF(B43&lt;&gt;"",IF(COUNT($A$33:A43)&lt;=$G$39,0,$G$41)+IF(COUNT($A$33:A43)&lt;=$G$40,0,$G$42),0)</f>
        <v>133333.3333333333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43349</v>
      </c>
      <c r="C44" s="27">
        <f>IF(B44&lt;&gt;"",IF(COUNT($A$33:A44)&lt;=$G$39,0,$G$41)+IF(COUNT($A$33:A44)&lt;=$G$40,0,$G$42),0)</f>
        <v>133333.3333333333</v>
      </c>
      <c r="D44" s="170">
        <f>IFERROR(DATE(YEAR(B44),MONTH(B44),1)," ")</f>
        <v>43344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43379</v>
      </c>
      <c r="C45" s="27">
        <f>IF(B45&lt;&gt;"",IF(COUNT($A$33:A45)&lt;=$G$39,0,$G$41)+IF(COUNT($A$33:A45)&lt;=$G$40,0,$G$42),0)</f>
        <v>133333.3333333333</v>
      </c>
      <c r="D45" s="170">
        <f>IFERROR(DATE(YEAR(B45),MONTH(B45),1)," ")</f>
        <v>43374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43410</v>
      </c>
      <c r="C46" s="27">
        <f>IF(B46&lt;&gt;"",IF(COUNT($A$33:A46)&lt;=$G$39,0,$G$41)+IF(COUNT($A$33:A46)&lt;=$G$40,0,$G$42),0)</f>
        <v>133333.3333333333</v>
      </c>
      <c r="D46" s="170">
        <f>IFERROR(DATE(YEAR(B46),MONTH(B46),1)," ")</f>
        <v>43405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43440</v>
      </c>
      <c r="C47" s="27">
        <f>IF(B47&lt;&gt;"",IF(COUNT($A$33:A47)&lt;=$G$39,0,$G$41)+IF(COUNT($A$33:A47)&lt;=$G$40,0,$G$42),0)</f>
        <v>133333.3333333333</v>
      </c>
      <c r="D47" s="170">
        <f>IFERROR(DATE(YEAR(B47),MONTH(B47),1)," ")</f>
        <v>43435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43471</v>
      </c>
      <c r="C48" s="27">
        <f>IF(B48&lt;&gt;"",IF(COUNT($A$33:A48)&lt;=$G$39,0,$G$41)+IF(COUNT($A$33:A48)&lt;=$G$40,0,$G$42),0)</f>
        <v>133333.3333333333</v>
      </c>
      <c r="D48" s="170">
        <f>IFERROR(DATE(YEAR(B48),MONTH(B48),1)," ")</f>
        <v>43466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43502</v>
      </c>
      <c r="C49" s="27">
        <f>IF(B49&lt;&gt;"",IF(COUNT($A$33:A49)&lt;=$G$39,0,$G$41)+IF(COUNT($A$33:A49)&lt;=$G$40,0,$G$42),0)</f>
        <v>133333.3333333333</v>
      </c>
      <c r="D49" s="170">
        <f>IFERROR(DATE(YEAR(B49),MONTH(B49),1)," ")</f>
        <v>43497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43530</v>
      </c>
      <c r="C50" s="27">
        <f>IF(B50&lt;&gt;"",IF(COUNT($A$33:A50)&lt;=$G$39,0,$G$41)+IF(COUNT($A$33:A50)&lt;=$G$40,0,$G$42),0)</f>
        <v>133333.3333333333</v>
      </c>
      <c r="D50" s="170">
        <f>IFERROR(DATE(YEAR(B50),MONTH(B50),1)," ")</f>
        <v>43525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43561</v>
      </c>
      <c r="C51" s="27">
        <f>IF(B51&lt;&gt;"",IF(COUNT($A$33:A51)&lt;=$G$39,0,$G$41)+IF(COUNT($A$33:A51)&lt;=$G$40,0,$G$42),0)</f>
        <v>133333.3333333333</v>
      </c>
      <c r="D51" s="170">
        <f>IFERROR(DATE(YEAR(B51),MONTH(B51),1)," ")</f>
        <v>43556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43591</v>
      </c>
      <c r="C52" s="27">
        <f>IF(B52&lt;&gt;"",IF(COUNT($A$33:A52)&lt;=$G$39,0,$G$41)+IF(COUNT($A$33:A52)&lt;=$G$40,0,$G$42),0)</f>
        <v>133333.3333333333</v>
      </c>
      <c r="D52" s="170">
        <f>IFERROR(DATE(YEAR(B52),MONTH(B52),1)," ")</f>
        <v>43586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43622</v>
      </c>
      <c r="C53" s="27">
        <f>IF(B53&lt;&gt;"",IF(COUNT($A$33:A53)&lt;=$G$39,0,$G$41)+IF(COUNT($A$33:A53)&lt;=$G$40,0,$G$42),0)</f>
        <v>133333.3333333333</v>
      </c>
      <c r="D53" s="170">
        <f>IFERROR(DATE(YEAR(B53),MONTH(B53),1)," ")</f>
        <v>43617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43652</v>
      </c>
      <c r="C54" s="27">
        <f>IF(B54&lt;&gt;"",IF(COUNT($A$33:A54)&lt;=$G$39,0,$G$41)+IF(COUNT($A$33:A54)&lt;=$G$40,0,$G$42),0)</f>
        <v>133333.3333333333</v>
      </c>
      <c r="D54" s="170">
        <f>IFERROR(DATE(YEAR(B54),MONTH(B54),1)," ")</f>
        <v>43647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43683</v>
      </c>
      <c r="C55" s="27">
        <f>IF(B55&lt;&gt;"",IF(COUNT($A$33:A55)&lt;=$G$39,0,$G$41)+IF(COUNT($A$33:A55)&lt;=$G$40,0,$G$42),0)</f>
        <v>133333.3333333333</v>
      </c>
      <c r="D55" s="170">
        <f>IFERROR(DATE(YEAR(B55),MONTH(B55),1)," ")</f>
        <v>43678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43714</v>
      </c>
      <c r="C56" s="27">
        <f>IF(B56&lt;&gt;"",IF(COUNT($A$33:A56)&lt;=$G$39,0,$G$41)+IF(COUNT($A$33:A56)&lt;=$G$40,0,$G$42),0)</f>
        <v>133333.3333333333</v>
      </c>
      <c r="D56" s="170">
        <f>IFERROR(DATE(YEAR(B56),MONTH(B56),1)," ")</f>
        <v>43709</v>
      </c>
    </row>
    <row r="57" spans="1:52">
      <c r="A57">
        <f>A56+1</f>
        <v>25</v>
      </c>
      <c r="B57" s="128">
        <f>IFERROR(IF(COUNT($A$33:A57)&lt;=$G$38,IF($G$37="Monthly",DATE(YEAR(B56),MONTH(B56)+1,MIN(DAY(B56),28)),B56+14),""),"")</f>
        <v>43744</v>
      </c>
      <c r="C57" s="27">
        <f>IF(B57&lt;&gt;"",IF(COUNT($A$33:A57)&lt;=$G$39,0,$G$41)+IF(COUNT($A$33:A57)&lt;=$G$40,0,$G$42),0)</f>
        <v>133333.3333333333</v>
      </c>
      <c r="D57" s="170">
        <f>IFERROR(DATE(YEAR(B57),MONTH(B57),1)," ")</f>
        <v>43739</v>
      </c>
    </row>
    <row r="58" spans="1:52">
      <c r="A58">
        <f>A57+1</f>
        <v>26</v>
      </c>
      <c r="B58" s="128">
        <f>IFERROR(IF(COUNT($A$33:A58)&lt;=$G$38,IF($G$37="Monthly",DATE(YEAR(B57),MONTH(B57)+1,MIN(DAY(B57),28)),B57+14),""),"")</f>
        <v>43775</v>
      </c>
      <c r="C58" s="27">
        <f>IF(B58&lt;&gt;"",IF(COUNT($A$33:A58)&lt;=$G$39,0,$G$41)+IF(COUNT($A$33:A58)&lt;=$G$40,0,$G$42),0)</f>
        <v>133333.3333333333</v>
      </c>
      <c r="D58" s="170">
        <f>IFERROR(DATE(YEAR(B58),MONTH(B58),1)," ")</f>
        <v>43770</v>
      </c>
    </row>
    <row r="59" spans="1:52">
      <c r="A59">
        <f>A58+1</f>
        <v>27</v>
      </c>
      <c r="B59" s="128">
        <f>IFERROR(IF(COUNT($A$33:A59)&lt;=$G$38,IF($G$37="Monthly",DATE(YEAR(B58),MONTH(B58)+1,MIN(DAY(B58),28)),B58+14),""),"")</f>
        <v>43805</v>
      </c>
      <c r="C59" s="27">
        <f>IF(B59&lt;&gt;"",IF(COUNT($A$33:A59)&lt;=$G$39,0,$G$41)+IF(COUNT($A$33:A59)&lt;=$G$40,0,$G$42),0)</f>
        <v>133333.3333333333</v>
      </c>
      <c r="D59" s="170">
        <f>IFERROR(DATE(YEAR(B59),MONTH(B59),1)," ")</f>
        <v>43800</v>
      </c>
    </row>
    <row r="60" spans="1:52">
      <c r="A60">
        <f>A59+1</f>
        <v>28</v>
      </c>
      <c r="B60" s="128">
        <f>IFERROR(IF(COUNT($A$33:A60)&lt;=$G$38,IF($G$37="Monthly",DATE(YEAR(B59),MONTH(B59)+1,MIN(DAY(B59),28)),B59+14),""),"")</f>
        <v>43836</v>
      </c>
      <c r="C60" s="27">
        <f>IF(B60&lt;&gt;"",IF(COUNT($A$33:A60)&lt;=$G$39,0,$G$41)+IF(COUNT($A$33:A60)&lt;=$G$40,0,$G$42),0)</f>
        <v>133333.3333333333</v>
      </c>
      <c r="D60" s="170">
        <f>IFERROR(DATE(YEAR(B60),MONTH(B60),1)," ")</f>
        <v>43831</v>
      </c>
    </row>
    <row r="61" spans="1:52">
      <c r="A61">
        <f>A60+1</f>
        <v>29</v>
      </c>
      <c r="B61" s="128">
        <f>IFERROR(IF(COUNT($A$33:A61)&lt;=$G$38,IF($G$37="Monthly",DATE(YEAR(B60),MONTH(B60)+1,MIN(DAY(B60),28)),B60+14),""),"")</f>
        <v>43867</v>
      </c>
      <c r="C61" s="27">
        <f>IF(B61&lt;&gt;"",IF(COUNT($A$33:A61)&lt;=$G$39,0,$G$41)+IF(COUNT($A$33:A61)&lt;=$G$40,0,$G$42),0)</f>
        <v>133333.3333333333</v>
      </c>
      <c r="D61" s="170">
        <f>IFERROR(DATE(YEAR(B61),MONTH(B61),1)," ")</f>
        <v>43862</v>
      </c>
    </row>
    <row r="62" spans="1:52">
      <c r="A62">
        <f>A61+1</f>
        <v>30</v>
      </c>
      <c r="B62" s="128">
        <f>IFERROR(IF(COUNT($A$33:A62)&lt;=$G$38,IF($G$37="Monthly",DATE(YEAR(B61),MONTH(B61)+1,MIN(DAY(B61),28)),B61+14),""),"")</f>
        <v>43896</v>
      </c>
      <c r="C62" s="27">
        <f>IF(B62&lt;&gt;"",IF(COUNT($A$33:A62)&lt;=$G$39,0,$G$41)+IF(COUNT($A$33:A62)&lt;=$G$40,0,$G$42),0)</f>
        <v>133333.3333333333</v>
      </c>
      <c r="D62" s="170">
        <f>IFERROR(DATE(YEAR(B62),MONTH(B62),1)," ")</f>
        <v>43891</v>
      </c>
    </row>
    <row r="63" spans="1:52">
      <c r="A63">
        <f>A62+1</f>
        <v>31</v>
      </c>
      <c r="B63" s="128">
        <f>IFERROR(IF(COUNT($A$33:A63)&lt;=$G$38,IF($G$37="Monthly",DATE(YEAR(B62),MONTH(B62)+1,MIN(DAY(B62),28)),B62+14),""),"")</f>
        <v>43927</v>
      </c>
      <c r="C63" s="27">
        <f>IF(B63&lt;&gt;"",IF(COUNT($A$33:A63)&lt;=$G$39,0,$G$41)+IF(COUNT($A$33:A63)&lt;=$G$40,0,$G$42),0)</f>
        <v>133333.3333333333</v>
      </c>
      <c r="D63" s="170">
        <f>IFERROR(DATE(YEAR(B63),MONTH(B63),1)," ")</f>
        <v>43922</v>
      </c>
    </row>
    <row r="64" spans="1:52">
      <c r="A64">
        <f>A63+1</f>
        <v>32</v>
      </c>
      <c r="B64" s="128">
        <f>IFERROR(IF(COUNT($A$33:A64)&lt;=$G$38,IF($G$37="Monthly",DATE(YEAR(B63),MONTH(B63)+1,MIN(DAY(B63),28)),B63+14),""),"")</f>
        <v>43957</v>
      </c>
      <c r="C64" s="27">
        <f>IF(B64&lt;&gt;"",IF(COUNT($A$33:A64)&lt;=$G$39,0,$G$41)+IF(COUNT($A$33:A64)&lt;=$G$40,0,$G$42),0)</f>
        <v>133333.3333333333</v>
      </c>
      <c r="D64" s="170">
        <f>IFERROR(DATE(YEAR(B64),MONTH(B64),1)," ")</f>
        <v>43952</v>
      </c>
    </row>
    <row r="65" spans="1:52">
      <c r="A65">
        <f>A64+1</f>
        <v>33</v>
      </c>
      <c r="B65" s="128">
        <f>IFERROR(IF(COUNT($A$33:A65)&lt;=$G$38,IF($G$37="Monthly",DATE(YEAR(B64),MONTH(B64)+1,MIN(DAY(B64),28)),B64+14),""),"")</f>
        <v>43988</v>
      </c>
      <c r="C65" s="27">
        <f>IF(B65&lt;&gt;"",IF(COUNT($A$33:A65)&lt;=$G$39,0,$G$41)+IF(COUNT($A$33:A65)&lt;=$G$40,0,$G$42),0)</f>
        <v>133333.3333333333</v>
      </c>
      <c r="D65" s="170">
        <f>IFERROR(DATE(YEAR(B65),MONTH(B65),1)," ")</f>
        <v>43983</v>
      </c>
    </row>
    <row r="66" spans="1:52">
      <c r="A66">
        <f>A65+1</f>
        <v>34</v>
      </c>
      <c r="B66" s="128">
        <f>IFERROR(IF(COUNT($A$33:A66)&lt;=$G$38,IF($G$37="Monthly",DATE(YEAR(B65),MONTH(B65)+1,MIN(DAY(B65),28)),B65+14),""),"")</f>
        <v>44018</v>
      </c>
      <c r="C66" s="27">
        <f>IF(B66&lt;&gt;"",IF(COUNT($A$33:A66)&lt;=$G$39,0,$G$41)+IF(COUNT($A$33:A66)&lt;=$G$40,0,$G$42),0)</f>
        <v>133333.3333333333</v>
      </c>
      <c r="D66" s="170">
        <f>IFERROR(DATE(YEAR(B66),MONTH(B66),1)," ")</f>
        <v>44013</v>
      </c>
    </row>
    <row r="67" spans="1:52">
      <c r="A67">
        <f>A66+1</f>
        <v>35</v>
      </c>
      <c r="B67" s="128">
        <f>IFERROR(IF(COUNT($A$33:A67)&lt;=$G$38,IF($G$37="Monthly",DATE(YEAR(B66),MONTH(B66)+1,MIN(DAY(B66),28)),B66+14),""),"")</f>
        <v>44049</v>
      </c>
      <c r="C67" s="27">
        <f>IF(B67&lt;&gt;"",IF(COUNT($A$33:A67)&lt;=$G$39,0,$G$41)+IF(COUNT($A$33:A67)&lt;=$G$40,0,$G$42),0)</f>
        <v>133333.3333333333</v>
      </c>
      <c r="D67" s="170">
        <f>IFERROR(DATE(YEAR(B67),MONTH(B67),1)," ")</f>
        <v>44044</v>
      </c>
    </row>
    <row r="68" spans="1:52">
      <c r="A68">
        <f>A67+1</f>
        <v>36</v>
      </c>
      <c r="B68" s="128">
        <f>IFERROR(IF(COUNT($A$33:A68)&lt;=$G$38,IF($G$37="Monthly",DATE(YEAR(B67),MONTH(B67)+1,MIN(DAY(B67),28)),B67+14),""),"")</f>
        <v>44080</v>
      </c>
      <c r="C68" s="27">
        <f>IF(B68&lt;&gt;"",IF(COUNT($A$33:A68)&lt;=$G$39,0,$G$41)+IF(COUNT($A$33:A68)&lt;=$G$40,0,$G$42),0)</f>
        <v>133333.3333333333</v>
      </c>
      <c r="D68" s="170">
        <f>IFERROR(DATE(YEAR(B68),MONTH(B68),1)," ")</f>
        <v>44075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298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301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302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303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304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305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307</v>
      </c>
      <c r="B34" s="11" t="s">
        <v>308</v>
      </c>
    </row>
    <row r="35" spans="1:36">
      <c r="A35" t="s">
        <v>309</v>
      </c>
      <c r="B35" s="72">
        <v>60</v>
      </c>
      <c r="C35" s="86"/>
    </row>
    <row r="36" spans="1:36">
      <c r="A36" t="s">
        <v>310</v>
      </c>
      <c r="B36" s="72">
        <v>2000</v>
      </c>
      <c r="C36" s="86"/>
    </row>
    <row r="37" spans="1:36">
      <c r="A37" t="s">
        <v>311</v>
      </c>
      <c r="B37" s="2">
        <v>0.4</v>
      </c>
    </row>
    <row r="39" spans="1:36">
      <c r="A39" s="3" t="s">
        <v>312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313</v>
      </c>
      <c r="C40" s="193"/>
    </row>
    <row r="41" spans="1:36">
      <c r="A41" s="5" t="s">
        <v>97</v>
      </c>
      <c r="B41" s="191" t="s">
        <v>314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298</v>
      </c>
      <c r="B44" s="72">
        <v>50000</v>
      </c>
      <c r="C44" s="72">
        <v>200000</v>
      </c>
    </row>
    <row r="45" spans="1:36">
      <c r="A45" t="s">
        <v>301</v>
      </c>
      <c r="B45" s="72">
        <v>25000</v>
      </c>
      <c r="C45" s="72">
        <v>50000</v>
      </c>
    </row>
    <row r="46" spans="1:36">
      <c r="A46" t="s">
        <v>302</v>
      </c>
      <c r="B46" s="72">
        <v>6000</v>
      </c>
      <c r="C46" s="72">
        <v>12000</v>
      </c>
    </row>
    <row r="47" spans="1:36">
      <c r="A47" t="s">
        <v>303</v>
      </c>
      <c r="B47" s="72">
        <v>4500</v>
      </c>
      <c r="C47" s="72">
        <v>12000</v>
      </c>
    </row>
    <row r="48" spans="1:36">
      <c r="A48" t="s">
        <v>304</v>
      </c>
      <c r="B48" s="72">
        <v>20000</v>
      </c>
      <c r="C48" s="72">
        <v>20000</v>
      </c>
      <c r="D48" s="72"/>
    </row>
    <row r="50" spans="1:36">
      <c r="A50" s="3" t="s">
        <v>315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316</v>
      </c>
      <c r="H52" s="12" t="s">
        <v>128</v>
      </c>
      <c r="I52" s="12" t="s">
        <v>317</v>
      </c>
      <c r="AJ52" s="12"/>
    </row>
    <row r="53" spans="1:36" customHeight="1" ht="30">
      <c r="A53" s="11" t="s">
        <v>318</v>
      </c>
      <c r="B53" s="11" t="s">
        <v>319</v>
      </c>
      <c r="C53" s="11" t="s">
        <v>320</v>
      </c>
      <c r="D53" s="10" t="s">
        <v>229</v>
      </c>
      <c r="E53" s="10" t="s">
        <v>188</v>
      </c>
      <c r="F53" s="10" t="s">
        <v>248</v>
      </c>
      <c r="G53" s="10" t="s">
        <v>321</v>
      </c>
      <c r="H53" s="10" t="s">
        <v>322</v>
      </c>
      <c r="I53" s="10" t="s">
        <v>322</v>
      </c>
      <c r="AJ53" s="12"/>
    </row>
    <row r="54" spans="1:36">
      <c r="A54">
        <v>8</v>
      </c>
      <c r="B54" s="12" t="s">
        <v>323</v>
      </c>
      <c r="C54" s="12" t="s">
        <v>324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325</v>
      </c>
      <c r="C55" s="12" t="s">
        <v>324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326</v>
      </c>
      <c r="C56" s="116" t="s">
        <v>327</v>
      </c>
      <c r="D56" s="189">
        <v>930</v>
      </c>
      <c r="E56" s="189">
        <v>1</v>
      </c>
      <c r="F56" s="189">
        <v>6</v>
      </c>
      <c r="G56" s="72" t="s">
        <v>314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328</v>
      </c>
      <c r="C57" s="116" t="s">
        <v>324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329</v>
      </c>
      <c r="C58" s="116" t="s">
        <v>324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330</v>
      </c>
      <c r="C59" s="116" t="s">
        <v>327</v>
      </c>
      <c r="D59" s="189">
        <v>465</v>
      </c>
      <c r="E59" s="189">
        <v>2</v>
      </c>
      <c r="F59" s="189">
        <v>4</v>
      </c>
      <c r="G59" s="72" t="s">
        <v>314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331</v>
      </c>
      <c r="C60" s="116" t="s">
        <v>327</v>
      </c>
      <c r="D60" s="189">
        <v>465</v>
      </c>
      <c r="E60" s="189">
        <v>1</v>
      </c>
      <c r="F60" s="189">
        <v>5</v>
      </c>
      <c r="G60" s="72" t="s">
        <v>314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332</v>
      </c>
      <c r="C61" s="116" t="s">
        <v>327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333</v>
      </c>
      <c r="C62" s="116" t="s">
        <v>327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334</v>
      </c>
      <c r="C63" s="116" t="s">
        <v>327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335</v>
      </c>
      <c r="C64" s="116" t="s">
        <v>327</v>
      </c>
      <c r="D64" s="189">
        <v>930</v>
      </c>
      <c r="E64" s="189">
        <v>1</v>
      </c>
      <c r="F64" s="189">
        <v>6</v>
      </c>
      <c r="G64" s="72" t="s">
        <v>314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336</v>
      </c>
      <c r="C65" s="12" t="s">
        <v>327</v>
      </c>
      <c r="D65" s="89">
        <v>465</v>
      </c>
      <c r="E65" s="89">
        <v>2</v>
      </c>
      <c r="F65" s="89">
        <v>4</v>
      </c>
      <c r="G65" s="7" t="s">
        <v>314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337</v>
      </c>
      <c r="C66" s="12" t="s">
        <v>327</v>
      </c>
      <c r="D66" s="89">
        <v>465</v>
      </c>
      <c r="E66" s="89">
        <v>2</v>
      </c>
      <c r="F66" s="89">
        <v>4</v>
      </c>
      <c r="G66" s="7" t="s">
        <v>314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338</v>
      </c>
      <c r="C67" s="12" t="s">
        <v>327</v>
      </c>
      <c r="D67" s="89">
        <v>930</v>
      </c>
      <c r="E67" s="89">
        <v>1</v>
      </c>
      <c r="F67" s="89">
        <v>6</v>
      </c>
      <c r="G67" s="7" t="s">
        <v>314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339</v>
      </c>
      <c r="C68" s="12" t="s">
        <v>327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340</v>
      </c>
      <c r="C69" s="12" t="s">
        <v>327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341</v>
      </c>
      <c r="C70" s="12" t="s">
        <v>327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342</v>
      </c>
      <c r="C71" s="12" t="s">
        <v>324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344</v>
      </c>
      <c r="B76" s="11" t="s">
        <v>345</v>
      </c>
      <c r="C76" s="11" t="s">
        <v>166</v>
      </c>
      <c r="D76" s="11" t="s">
        <v>346</v>
      </c>
      <c r="E76" s="11" t="s">
        <v>80</v>
      </c>
      <c r="F76" s="11" t="s">
        <v>347</v>
      </c>
      <c r="G76" s="11" t="s">
        <v>348</v>
      </c>
      <c r="H76" s="11" t="s">
        <v>349</v>
      </c>
      <c r="I76" s="11" t="s">
        <v>225</v>
      </c>
      <c r="J76" s="11" t="s">
        <v>350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351</v>
      </c>
      <c r="E77" s="12" t="s">
        <v>314</v>
      </c>
      <c r="F77" s="12" t="s">
        <v>314</v>
      </c>
      <c r="G77" s="12" t="s">
        <v>352</v>
      </c>
      <c r="H77" s="12" t="s">
        <v>128</v>
      </c>
      <c r="I77" s="12" t="s">
        <v>353</v>
      </c>
      <c r="J77" s="136" t="s">
        <v>354</v>
      </c>
      <c r="K77" s="12" t="s">
        <v>314</v>
      </c>
      <c r="AJ77" s="12"/>
    </row>
    <row r="78" spans="1:36">
      <c r="A78" t="s">
        <v>314</v>
      </c>
      <c r="B78" s="176">
        <v>5</v>
      </c>
      <c r="C78" s="134" t="s">
        <v>355</v>
      </c>
      <c r="D78" s="133"/>
      <c r="E78" s="12" t="s">
        <v>356</v>
      </c>
      <c r="F78" s="12" t="s">
        <v>357</v>
      </c>
      <c r="G78" s="12" t="s">
        <v>358</v>
      </c>
      <c r="H78" s="12" t="s">
        <v>317</v>
      </c>
      <c r="I78" s="12" t="s">
        <v>359</v>
      </c>
      <c r="J78" s="70" t="s">
        <v>360</v>
      </c>
      <c r="K78" s="12" t="s">
        <v>314</v>
      </c>
      <c r="AJ78" s="12"/>
    </row>
    <row r="79" spans="1:36">
      <c r="B79" s="176">
        <v>10</v>
      </c>
      <c r="C79" s="12" t="s">
        <v>122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166</v>
      </c>
      <c r="J79" s="70" t="s">
        <v>364</v>
      </c>
      <c r="K79" s="12" t="s">
        <v>314</v>
      </c>
      <c r="AJ79" s="12"/>
    </row>
    <row r="80" spans="1:36">
      <c r="B80" s="176">
        <v>20</v>
      </c>
      <c r="C80" s="12" t="s">
        <v>149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150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151</v>
      </c>
      <c r="D82" s="12">
        <f>D81+1</f>
        <v>4</v>
      </c>
      <c r="J82" s="70"/>
    </row>
    <row r="83" spans="1:36">
      <c r="B83" s="176">
        <v>50</v>
      </c>
      <c r="C83" s="12" t="s">
        <v>152</v>
      </c>
      <c r="D83" s="12">
        <f>D82+1</f>
        <v>5</v>
      </c>
    </row>
    <row r="84" spans="1:36">
      <c r="B84" s="176">
        <v>60</v>
      </c>
      <c r="C84" s="12" t="s">
        <v>153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366</v>
      </c>
      <c r="D86" s="12">
        <f>D85+1</f>
        <v>8</v>
      </c>
    </row>
    <row r="87" spans="1:36">
      <c r="B87" s="176">
        <v>89.99999999999999</v>
      </c>
      <c r="C87" s="12" t="s">
        <v>367</v>
      </c>
      <c r="D87" s="12">
        <f>D86+1</f>
        <v>9</v>
      </c>
    </row>
    <row r="88" spans="1:36">
      <c r="B88" s="176">
        <v>99.99999999999999</v>
      </c>
      <c r="C88" s="12" t="s">
        <v>95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