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<sst xmlns="http://schemas.openxmlformats.org/spreadsheetml/2006/main" uniqueCount="365">
  <si>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</si>
  <si>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</si>
  <si>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</si>
  <si>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</si>
  <si>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</si>
  <si>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</si>
  <si>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</si>
  <si>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</si>
  <si>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</si>
  <si>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</si>
  <si>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</si>
  <si>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</si>
  <si>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</si>
  <si>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</si>
  <si>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</si>
  <si>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</si>
  <si>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</si>
  <si>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</si>
  <si>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</si>
  <si>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</si>
  <si>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</si>
  <si>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</si>
  <si>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</si>
  <si>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</si>
  <si>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</si>
  <si>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</si>
  <si>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</si>
  <si>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</si>
  <si>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</si>
  <si>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</si>
  <si>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</si>
  <si>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</si>
  <si>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</si>
  <si>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</si>
  <si>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</si>
  <si>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</si>
  <si>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</si>
  <si>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</si>
  <si>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</si>
  <si>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</si>
  <si>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</si>
  <si>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</si>
  <si>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</si>
  <si>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</si>
  <si>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</si>
  <si>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</si>
  <si>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</si>
  <si>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</si>
  <si>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</si>
  <si>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</si>
  <si>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</si>
  <si>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</si>
  <si>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</si>
  <si>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</si>
  <si>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</si>
  <si>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</si>
  <si>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</si>
  <si>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</si>
  <si>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</si>
  <si>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</si>
  <si>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</si>
  <si>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</si>
  <si>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</si>
  <si>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</si>
  <si>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</si>
  <si>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</si>
  <si>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</si>
  <si>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</si>
  <si>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</si>
  <si>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</si>
  <si>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</si>
  <si>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</si>
  <si>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</si>
  <si>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</si>
  <si>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</si>
  <si>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</si>
  <si>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</si>
  <si>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</si>
  <si>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</si>
  <si>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</si>
  <si>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</si>
  <si>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</si>
  <si>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</si>
  <si>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</si>
  <si>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</si>
  <si>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</si>
  <si>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</si>
  <si>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</si>
  <si>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</si>
  <si>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</si>
  <si>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Shop_certified variety</t>
  </si>
  <si>
    <t>Yes both manure and inorganic</t>
  </si>
  <si>
    <t>Yes</t>
  </si>
  <si>
    <t>Yes using a diesel pump</t>
  </si>
  <si>
    <t>January</t>
  </si>
  <si>
    <t>Potatoes</t>
  </si>
  <si>
    <t>December</t>
  </si>
  <si>
    <t>Onions</t>
  </si>
  <si>
    <t>November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</si>
  <si>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</si>
  <si>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</si>
  <si>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</si>
  <si>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</si>
  <si>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</si>
  <si>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</si>
  <si>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</si>
  <si>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</si>
  <si>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</si>
  <si>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</si>
  <si>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</si>
  <si>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</si>
  <si>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</si>
  <si>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</si>
  <si>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</si>
  <si>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</si>
  <si>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</si>
  <si>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</si>
  <si>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</si>
  <si>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</si>
  <si>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</si>
  <si>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</si>
  <si>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</si>
  <si>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</si>
  <si>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</si>
  <si>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</si>
  <si>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</si>
  <si>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</si>
  <si>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</si>
  <si>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</si>
  <si>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</si>
  <si>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</si>
  <si>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</si>
  <si>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</si>
  <si>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</si>
  <si>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</si>
  <si>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</si>
  <si>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</si>
  <si>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</si>
  <si>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</si>
  <si>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</si>
  <si>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</si>
  <si>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</si>
  <si>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</si>
  <si>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</si>
  <si>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</si>
  <si>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</si>
  <si>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</si>
  <si>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</si>
  <si>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</si>
  <si>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</si>
  <si>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</si>
  <si>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</si>
  <si>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2017/9/12</t>
  </si>
  <si>
    <t>Loan terms</t>
  </si>
  <si>
    <t>Expected disbursement date</t>
  </si>
  <si>
    <t>Expected first repayment date</t>
  </si>
  <si>
    <t>2017/10/12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</si>
  <si>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</si>
  <si>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</si>
  <si>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</si>
  <si>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</si>
  <si>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</si>
  <si>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</si>
  <si>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</si>
  <si>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</si>
  <si>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</si>
  <si>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</si>
  <si>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</si>
  <si>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</si>
  <si>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</si>
  <si>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</si>
  <si>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</si>
  <si>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</si>
  <si>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</si>
  <si>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</si>
  <si>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</si>
  <si>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</si>
  <si>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</si>
  <si>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</si>
  <si>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</si>
  <si>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</si>
  <si>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</si>
  <si>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</si>
  <si>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</si>
  <si>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</si>
  <si>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</si>
  <si>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</si>
  <si>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</si>
  <si>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</si>
  <si>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</si>
  <si>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</si>
  <si>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</si>
  <si>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</si>
  <si>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</si>
  <si>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</si>
  <si>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</si>
  <si>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</si>
  <si>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</si>
  <si>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</si>
  <si>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</si>
  <si>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</si>
  <si>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</si>
  <si>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</si>
  <si>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</si>
  <si>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</si>
  <si>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</si>
  <si>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</si>
  <si>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</si>
  <si>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</si>
  <si>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</si>
  <si>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</si>
  <si>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</si>
  <si>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</si>
  <si>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</si>
  <si>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</si>
  <si>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</si>
  <si>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</si>
  <si>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</si>
  <si>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</si>
  <si>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</si>
  <si>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</si>
  <si>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</si>
  <si>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</si>
  <si>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</si>
  <si>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</si>
  <si>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</si>
  <si>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</si>
  <si>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</si>
  <si>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</si>
  <si>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</si>
  <si>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</si>
  <si>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</si>
  <si>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</si>
  <si>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</si>
  <si>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</si>
  <si>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</si>
  <si>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</si>
  <si>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</si>
  <si>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</si>
  <si>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</si>
  <si>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</si>
  <si>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</si>
  <si>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</si>
  <si>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</si>
  <si>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</si>
  <si>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</si>
  <si>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</si>
  <si>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</si>
  <si>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</si>
  <si>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</si>
  <si>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</si>
  <si>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</si>
  <si>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</si>
  <si>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</si>
  <si>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</si>
  <si>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</si>
  <si>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</si>
  <si>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</si>
  <si>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</si>
  <si>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</si>
  <si>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</si>
  <si>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</si>
  <si>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</si>
  <si>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</si>
  <si>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</si>
  <si>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</si>
  <si>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</si>
  <si>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</si>
  <si>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</si>
  <si>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</si>
  <si>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</si>
  <si>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</si>
  <si>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</si>
  <si>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</si>
  <si>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</si>
  <si>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</si>
  <si>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</si>
  <si>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</si>
  <si>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</si>
  <si>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</si>
  <si>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</si>
  <si>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</si>
  <si>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</si>
  <si>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</si>
  <si>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</si>
  <si>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</si>
  <si>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</si>
  <si>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</si>
  <si>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</si>
  <si>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</si>
  <si>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</si>
  <si>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</si>
  <si>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</si>
  <si>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</si>
  <si>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</si>
  <si>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</si>
  <si>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</si>
  <si>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</si>
  <si>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</si>
  <si>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</si>
  <si>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</si>
  <si>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</si>
  <si>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</si>
  <si>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</si>
  <si>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</si>
  <si>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</si>
  <si>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</si>
  <si>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</si>
  <si>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</si>
  <si>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</si>
  <si>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</si>
  <si>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</si>
  <si>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</si>
  <si>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</si>
  <si>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</si>
  <si>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</si>
  <si>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</si>
  <si>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</si>
  <si>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</si>
  <si>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</si>
  <si>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</si>
  <si>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</si>
  <si>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</si>
  <si>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</si>
  <si>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</si>
  <si>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</si>
  <si>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</si>
  <si>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</si>
  <si>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</si>
  <si>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</si>
  <si>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</si>
  <si>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</si>
  <si>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</si>
  <si>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</si>
  <si>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</si>
  <si>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</si>
  <si>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</si>
  <si>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</si>
  <si>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</si>
  <si>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</si>
  <si>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</si>
  <si>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</si>
  <si>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</si>
  <si>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</si>
  <si>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</si>
  <si>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</si>
  <si>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</si>
  <si>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</si>
  <si>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</si>
  <si>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</si>
  <si>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</si>
  <si>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</si>
  <si>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</si>
  <si>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</si>
  <si>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</si>
  <si>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</si>
  <si>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March</t>
  </si>
  <si>
    <t>NGO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</si>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</sst>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Potatoes, Onions,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0.285265013489049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2017</v>
      </c>
    </row>
    <row r="13" spans="1:7">
      <c r="B13" s="1" t="s">
        <v>8</v>
      </c>
      <c r="C13" s="67">
        <f>IFERROR(Output!B107/Output!B101,"")</f>
        <v>0.06631299734748011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12000</v>
      </c>
    </row>
    <row r="17" spans="1:7">
      <c r="B17" s="1" t="s">
        <v>11</v>
      </c>
      <c r="C17" s="36">
        <f>SUM(Output!B6:M6)</f>
        <v>362796.1073538369</v>
      </c>
    </row>
    <row r="18" spans="1:7">
      <c r="B18" s="1" t="s">
        <v>12</v>
      </c>
      <c r="C18" s="36">
        <f>MIN(Output!B6:M6)</f>
        <v>-22730.73654054315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92216.17303437176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1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42979</v>
      </c>
      <c r="C5" s="17">
        <f>DATE(YEAR(B5),MONTH(B5)+1,DAY(B5))</f>
        <v>43009</v>
      </c>
      <c r="D5" s="17">
        <f>DATE(YEAR(C5),MONTH(C5)+1,DAY(C5))</f>
        <v>43040</v>
      </c>
      <c r="E5" s="17">
        <f>DATE(YEAR(D5),MONTH(D5)+1,DAY(D5))</f>
        <v>43070</v>
      </c>
      <c r="F5" s="17">
        <f>DATE(YEAR(E5),MONTH(E5)+1,DAY(E5))</f>
        <v>43101</v>
      </c>
      <c r="G5" s="17">
        <f>DATE(YEAR(F5),MONTH(F5)+1,DAY(F5))</f>
        <v>43132</v>
      </c>
      <c r="H5" s="17">
        <f>DATE(YEAR(G5),MONTH(G5)+1,DAY(G5))</f>
        <v>43160</v>
      </c>
      <c r="I5" s="17">
        <f>DATE(YEAR(H5),MONTH(H5)+1,DAY(H5))</f>
        <v>43191</v>
      </c>
      <c r="J5" s="17">
        <f>DATE(YEAR(I5),MONTH(I5)+1,DAY(I5))</f>
        <v>43221</v>
      </c>
      <c r="K5" s="17">
        <f>DATE(YEAR(J5),MONTH(J5)+1,DAY(J5))</f>
        <v>43252</v>
      </c>
      <c r="L5" s="17">
        <f>DATE(YEAR(K5),MONTH(K5)+1,DAY(K5))</f>
        <v>43282</v>
      </c>
      <c r="M5" s="17">
        <f>DATE(YEAR(L5),MONTH(L5)+1,DAY(L5))</f>
        <v>43313</v>
      </c>
      <c r="N5" s="17">
        <f>DATE(YEAR(M5),MONTH(M5)+1,DAY(M5))</f>
        <v>43344</v>
      </c>
      <c r="O5" s="17">
        <f>DATE(YEAR(N5),MONTH(N5)+1,DAY(N5))</f>
        <v>43374</v>
      </c>
      <c r="P5" s="17">
        <f>DATE(YEAR(O5),MONTH(O5)+1,DAY(O5))</f>
        <v>43405</v>
      </c>
      <c r="Q5" s="17">
        <f>DATE(YEAR(P5),MONTH(P5)+1,DAY(P5))</f>
        <v>43435</v>
      </c>
      <c r="R5" s="17">
        <f>DATE(YEAR(Q5),MONTH(Q5)+1,DAY(Q5))</f>
        <v>43466</v>
      </c>
      <c r="S5" s="17">
        <f>DATE(YEAR(R5),MONTH(R5)+1,DAY(R5))</f>
        <v>43497</v>
      </c>
      <c r="T5" s="17">
        <f>DATE(YEAR(S5),MONTH(S5)+1,DAY(S5))</f>
        <v>43525</v>
      </c>
      <c r="U5" s="17">
        <f>DATE(YEAR(T5),MONTH(T5)+1,DAY(T5))</f>
        <v>43556</v>
      </c>
      <c r="V5" s="17">
        <f>DATE(YEAR(U5),MONTH(U5)+1,DAY(U5))</f>
        <v>43586</v>
      </c>
      <c r="W5" s="17">
        <f>DATE(YEAR(V5),MONTH(V5)+1,DAY(V5))</f>
        <v>43617</v>
      </c>
      <c r="X5" s="17">
        <f>DATE(YEAR(W5),MONTH(W5)+1,DAY(W5))</f>
        <v>43647</v>
      </c>
      <c r="Y5" s="17">
        <f>DATE(YEAR(X5),MONTH(X5)+1,DAY(X5))</f>
        <v>43678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43709</v>
      </c>
    </row>
    <row r="6" spans="1:30" customHeight="1" ht="15.75">
      <c r="A6" s="50" t="s">
        <v>27</v>
      </c>
      <c r="B6" s="51">
        <f>B30-B88</f>
        <v>21997.65700846534</v>
      </c>
      <c r="C6" s="51">
        <f>C30-C88</f>
        <v>92216.17303437176</v>
      </c>
      <c r="D6" s="51">
        <f>D30-D88</f>
        <v>91850.17303437176</v>
      </c>
      <c r="E6" s="51">
        <f>E30-E88</f>
        <v>-20753.5936834003</v>
      </c>
      <c r="F6" s="51">
        <f>F30-F88</f>
        <v>-1336.736540543156</v>
      </c>
      <c r="G6" s="51">
        <f>G30-G88</f>
        <v>-2030.736540543156</v>
      </c>
      <c r="H6" s="51">
        <f>H30-H88</f>
        <v>3269.263459456844</v>
      </c>
      <c r="I6" s="51">
        <f>I30-I88</f>
        <v>89639.03017722891</v>
      </c>
      <c r="J6" s="51">
        <f>J30-J88</f>
        <v>89873.03017722891</v>
      </c>
      <c r="K6" s="51">
        <f>K30-K88</f>
        <v>-22730.73654054315</v>
      </c>
      <c r="L6" s="51">
        <f>L30-L88</f>
        <v>6497.96257240147</v>
      </c>
      <c r="M6" s="51">
        <f>M30-M88</f>
        <v>14304.62119534168</v>
      </c>
      <c r="N6" s="51">
        <f>N30-N88</f>
        <v>21997.65700846534</v>
      </c>
      <c r="O6" s="51">
        <f>O30-O88</f>
        <v>92216.17303437176</v>
      </c>
      <c r="P6" s="51">
        <f>P30-P88</f>
        <v>91850.17303437176</v>
      </c>
      <c r="Q6" s="51">
        <f>Q30-Q88</f>
        <v>-20753.5936834003</v>
      </c>
      <c r="R6" s="51">
        <f>R30-R88</f>
        <v>-1336.736540543156</v>
      </c>
      <c r="S6" s="51">
        <f>S30-S88</f>
        <v>-2030.736540543156</v>
      </c>
      <c r="T6" s="51">
        <f>T30-T88</f>
        <v>3269.263459456844</v>
      </c>
      <c r="U6" s="51">
        <f>U30-U88</f>
        <v>89639.03017722891</v>
      </c>
      <c r="V6" s="51">
        <f>V30-V88</f>
        <v>89873.03017722891</v>
      </c>
      <c r="W6" s="51">
        <f>W30-W88</f>
        <v>-22730.73654054315</v>
      </c>
      <c r="X6" s="51">
        <f>X30-X88</f>
        <v>6497.96257240147</v>
      </c>
      <c r="Y6" s="51">
        <f>Y30-Y88</f>
        <v>14304.62119534168</v>
      </c>
      <c r="Z6" s="51">
        <f>SUMIF($B$13:$Y$13,"Yes",B6:Y6)</f>
        <v>384793.7643623023</v>
      </c>
      <c r="AA6" s="51">
        <f>AA30-AA88</f>
        <v>362796.107353837</v>
      </c>
      <c r="AB6" s="51">
        <f>AB30-AB88</f>
        <v>725592.2147076735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>
        <f>IF(ISERROR(VLOOKUP(MONTH(E5),Inputs!$D$66:$D$71,1,0)),"",INDEX(Inputs!$B$66:$B$71,MATCH(MONTH(Output!E5),Inputs!$D$66:$D$71,0))-INDEX(Inputs!$C$66:$C$71,MATCH(MONTH(Output!E5),Inputs!$D$66:$D$71,0)))</f>
        <v>0</v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>
        <f>IF(ISERROR(VLOOKUP(MONTH(Q5),Inputs!$D$66:$D$71,1,0)),"",INDEX(Inputs!$B$66:$B$71,MATCH(MONTH(Output!Q5),Inputs!$D$66:$D$71,0))-INDEX(Inputs!$C$66:$C$71,MATCH(MONTH(Output!Q5),Inputs!$D$66:$D$71,0)))</f>
        <v>0</v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120000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120000</v>
      </c>
      <c r="AA9" s="75">
        <f>SUM(B9:M9)</f>
        <v>120000</v>
      </c>
      <c r="AB9" s="75">
        <f>SUM(B9:Y9)</f>
        <v>120000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12000</v>
      </c>
      <c r="D10" s="37">
        <f>SUMPRODUCT((Calculations!$D$33:$D$84=Output!D5)+0,Calculations!$C$33:$C$84)</f>
        <v>12000</v>
      </c>
      <c r="E10" s="37">
        <f>SUMPRODUCT((Calculations!$D$33:$D$84=Output!E5)+0,Calculations!$C$33:$C$84)</f>
        <v>12000</v>
      </c>
      <c r="F10" s="37">
        <f>SUMPRODUCT((Calculations!$D$33:$D$84=Output!F5)+0,Calculations!$C$33:$C$84)</f>
        <v>12000</v>
      </c>
      <c r="G10" s="37">
        <f>SUMPRODUCT((Calculations!$D$33:$D$84=Output!G5)+0,Calculations!$C$33:$C$84)</f>
        <v>12000</v>
      </c>
      <c r="H10" s="37">
        <f>SUMPRODUCT((Calculations!$D$33:$D$84=Output!H5)+0,Calculations!$C$33:$C$84)</f>
        <v>12000</v>
      </c>
      <c r="I10" s="37">
        <f>SUMPRODUCT((Calculations!$D$33:$D$84=Output!I5)+0,Calculations!$C$33:$C$84)</f>
        <v>12000</v>
      </c>
      <c r="J10" s="37">
        <f>SUMPRODUCT((Calculations!$D$33:$D$84=Output!J5)+0,Calculations!$C$33:$C$84)</f>
        <v>12000</v>
      </c>
      <c r="K10" s="37">
        <f>SUMPRODUCT((Calculations!$D$33:$D$84=Output!K5)+0,Calculations!$C$33:$C$84)</f>
        <v>12000</v>
      </c>
      <c r="L10" s="37">
        <f>SUMPRODUCT((Calculations!$D$33:$D$84=Output!L5)+0,Calculations!$C$33:$C$84)</f>
        <v>12000</v>
      </c>
      <c r="M10" s="37">
        <f>SUMPRODUCT((Calculations!$D$33:$D$84=Output!M5)+0,Calculations!$C$33:$C$84)</f>
        <v>12000</v>
      </c>
      <c r="N10" s="37">
        <f>SUMPRODUCT((Calculations!$D$33:$D$84=Output!N5)+0,Calculations!$C$33:$C$84)</f>
        <v>12000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144000</v>
      </c>
      <c r="AA10" s="37">
        <f>SUM(B10:M10)</f>
        <v>132000</v>
      </c>
      <c r="AB10" s="37">
        <f>SUM(B10:Y10)</f>
        <v>144000</v>
      </c>
    </row>
    <row r="11" spans="1:30" customHeight="1" ht="15.75">
      <c r="A11" s="43" t="s">
        <v>31</v>
      </c>
      <c r="B11" s="80">
        <f>B6+B9-B10</f>
        <v>141997.6570084653</v>
      </c>
      <c r="C11" s="80">
        <f>C6+C9-C10</f>
        <v>80216.17303437176</v>
      </c>
      <c r="D11" s="80">
        <f>D6+D9-D10</f>
        <v>79850.17303437176</v>
      </c>
      <c r="E11" s="80">
        <f>E6+E9-E10</f>
        <v>-32753.5936834003</v>
      </c>
      <c r="F11" s="80">
        <f>F6+F9-F10</f>
        <v>-13336.73654054316</v>
      </c>
      <c r="G11" s="80">
        <f>G6+G9-G10</f>
        <v>-14030.73654054316</v>
      </c>
      <c r="H11" s="80">
        <f>H6+H9-H10</f>
        <v>-8730.736540543156</v>
      </c>
      <c r="I11" s="80">
        <f>I6+I9-I10</f>
        <v>77639.03017722891</v>
      </c>
      <c r="J11" s="80">
        <f>J6+J9-J10</f>
        <v>77873.03017722891</v>
      </c>
      <c r="K11" s="80">
        <f>K6+K9-K10</f>
        <v>-34730.73654054315</v>
      </c>
      <c r="L11" s="80">
        <f>L6+L9-L10</f>
        <v>-5502.03742759853</v>
      </c>
      <c r="M11" s="80">
        <f>M6+M9-M10</f>
        <v>2304.621195341679</v>
      </c>
      <c r="N11" s="80">
        <f>N6+N9-N10</f>
        <v>9997.657008465336</v>
      </c>
      <c r="O11" s="80">
        <f>O6+O9-O10</f>
        <v>92216.17303437176</v>
      </c>
      <c r="P11" s="80">
        <f>P6+P9-P10</f>
        <v>91850.17303437176</v>
      </c>
      <c r="Q11" s="80">
        <f>Q6+Q9-Q10</f>
        <v>-20753.5936834003</v>
      </c>
      <c r="R11" s="80">
        <f>R6+R9-R10</f>
        <v>-1336.736540543156</v>
      </c>
      <c r="S11" s="80">
        <f>S6+S9-S10</f>
        <v>-2030.736540543156</v>
      </c>
      <c r="T11" s="80">
        <f>T6+T9-T10</f>
        <v>3269.263459456844</v>
      </c>
      <c r="U11" s="80">
        <f>U6+U9-U10</f>
        <v>89639.03017722891</v>
      </c>
      <c r="V11" s="80">
        <f>V6+V9-V10</f>
        <v>89873.03017722891</v>
      </c>
      <c r="W11" s="80">
        <f>W6+W9-W10</f>
        <v>-22730.73654054315</v>
      </c>
      <c r="X11" s="80">
        <f>X6+X9-X10</f>
        <v>6497.96257240147</v>
      </c>
      <c r="Y11" s="80">
        <f>Y6+Y9-Y10</f>
        <v>14304.62119534168</v>
      </c>
      <c r="Z11" s="85">
        <f>SUMIF($B$13:$Y$13,"Yes",B11:Y11)</f>
        <v>360793.7643623022</v>
      </c>
      <c r="AA11" s="80">
        <f>SUM(B11:M11)</f>
        <v>350796.1073538369</v>
      </c>
      <c r="AB11" s="46">
        <f>SUM(B11:Y11)</f>
        <v>701592.2147076739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0.05123523234219444</v>
      </c>
      <c r="D12" s="82">
        <f>IF(D13="Yes",IF(SUM($B$10:D10)/(SUM($B$6:D6)+SUM($B$9:D9))&lt;0,999.99,SUM($B$10:D10)/(SUM($B$6:D6)+SUM($B$9:D9))),"")</f>
        <v>0.0736051811101547</v>
      </c>
      <c r="E12" s="82">
        <f>IF(E13="Yes",IF(SUM($B$10:E10)/(SUM($B$6:E6)+SUM($B$9:E9))&lt;0,999.99,SUM($B$10:E10)/(SUM($B$6:E6)+SUM($B$9:E9))),"")</f>
        <v>0.1179127828346165</v>
      </c>
      <c r="F12" s="82">
        <f>IF(F13="Yes",IF(SUM($B$10:F10)/(SUM($B$6:F6)+SUM($B$9:F9))&lt;0,999.99,SUM($B$10:F10)/(SUM($B$6:F6)+SUM($B$9:F9))),"")</f>
        <v>0.1579084120984735</v>
      </c>
      <c r="G12" s="82">
        <f>IF(G13="Yes",IF(SUM($B$10:G10)/(SUM($B$6:G6)+SUM($B$9:G9))&lt;0,999.99,SUM($B$10:G10)/(SUM($B$6:G6)+SUM($B$9:G9))),"")</f>
        <v>0.1987130440364334</v>
      </c>
      <c r="H12" s="82">
        <f>IF(H13="Yes",IF(SUM($B$10:H10)/(SUM($B$6:H6)+SUM($B$9:H9))&lt;0,999.99,SUM($B$10:H10)/(SUM($B$6:H6)+SUM($B$9:H9))),"")</f>
        <v>0.2359014484143926</v>
      </c>
      <c r="I12" s="82">
        <f>IF(I13="Yes",IF(SUM($B$10:I10)/(SUM($B$6:I6)+SUM($B$9:I9))&lt;0,999.99,SUM($B$10:I10)/(SUM($B$6:I6)+SUM($B$9:I9))),"")</f>
        <v>0.2127383521402804</v>
      </c>
      <c r="J12" s="82">
        <f>IF(J13="Yes",IF(SUM($B$10:J10)/(SUM($B$6:J6)+SUM($B$9:J9))&lt;0,999.99,SUM($B$10:J10)/(SUM($B$6:J6)+SUM($B$9:J9))),"")</f>
        <v>0.1980507432718954</v>
      </c>
      <c r="K12" s="82">
        <f>IF(K13="Yes",IF(SUM($B$10:K10)/(SUM($B$6:K6)+SUM($B$9:K9))&lt;0,999.99,SUM($B$10:K10)/(SUM($B$6:K6)+SUM($B$9:K9))),"")</f>
        <v>0.2337695107967761</v>
      </c>
      <c r="L12" s="82">
        <f>IF(L13="Yes",IF(SUM($B$10:L10)/(SUM($B$6:L6)+SUM($B$9:L9))&lt;0,999.99,SUM($B$10:L10)/(SUM($B$6:L6)+SUM($B$9:L9))),"")</f>
        <v>0.2561412609308397</v>
      </c>
      <c r="M12" s="82">
        <f>IF(M13="Yes",IF(SUM($B$10:M10)/(SUM($B$6:M6)+SUM($B$9:M9))&lt;0,999.99,SUM($B$10:M10)/(SUM($B$6:M6)+SUM($B$9:M9))),"")</f>
        <v>0.2734073410895552</v>
      </c>
      <c r="N12" s="82">
        <f>IF(N13="Yes",IF(SUM($B$10:N10)/(SUM($B$6:N6)+SUM($B$9:N9))&lt;0,999.99,SUM($B$10:N10)/(SUM($B$6:N6)+SUM($B$9:N9))),"")</f>
        <v>0.285265013489049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42979</v>
      </c>
      <c r="C17" s="17">
        <f>C5</f>
        <v>43009</v>
      </c>
      <c r="D17" s="17">
        <f>D5</f>
        <v>43040</v>
      </c>
      <c r="E17" s="17">
        <f>E5</f>
        <v>43070</v>
      </c>
      <c r="F17" s="17">
        <f>F5</f>
        <v>43101</v>
      </c>
      <c r="G17" s="17">
        <f>G5</f>
        <v>43132</v>
      </c>
      <c r="H17" s="17">
        <f>H5</f>
        <v>43160</v>
      </c>
      <c r="I17" s="17">
        <f>I5</f>
        <v>43191</v>
      </c>
      <c r="J17" s="17">
        <f>J5</f>
        <v>43221</v>
      </c>
      <c r="K17" s="17">
        <f>K5</f>
        <v>43252</v>
      </c>
      <c r="L17" s="17">
        <f>L5</f>
        <v>43282</v>
      </c>
      <c r="M17" s="17">
        <f>M5</f>
        <v>43313</v>
      </c>
      <c r="N17" s="17">
        <f>N5</f>
        <v>43344</v>
      </c>
      <c r="O17" s="17">
        <f>O5</f>
        <v>43374</v>
      </c>
      <c r="P17" s="17">
        <f>P5</f>
        <v>43405</v>
      </c>
      <c r="Q17" s="17">
        <f>Q5</f>
        <v>43435</v>
      </c>
      <c r="R17" s="17">
        <f>R5</f>
        <v>43466</v>
      </c>
      <c r="S17" s="17">
        <f>S5</f>
        <v>43497</v>
      </c>
      <c r="T17" s="17">
        <f>T5</f>
        <v>43525</v>
      </c>
      <c r="U17" s="17">
        <f>U5</f>
        <v>43556</v>
      </c>
      <c r="V17" s="17">
        <f>V5</f>
        <v>43586</v>
      </c>
      <c r="W17" s="17">
        <f>W5</f>
        <v>43617</v>
      </c>
      <c r="X17" s="17">
        <f>X5</f>
        <v>43647</v>
      </c>
      <c r="Y17" s="17">
        <f>Y5</f>
        <v>43678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16751.25069186564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11965.17906561831</v>
      </c>
      <c r="M18" s="36">
        <f>Y18</f>
        <v>14358.21487874198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16751.25069186564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11965.17906561831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14358.21487874198</v>
      </c>
      <c r="Z18" s="36">
        <f>SUMIF($B$13:$Y$13,"Yes",B18:Y18)</f>
        <v>59825.89532809157</v>
      </c>
      <c r="AA18" s="36">
        <f>SUM(B18:M18)</f>
        <v>43074.64463622593</v>
      </c>
      <c r="AB18" s="36">
        <f>SUM(B18:Y18)</f>
        <v>86149.28927245185</v>
      </c>
      <c r="AC18" s="43"/>
      <c r="AD18" s="43"/>
    </row>
    <row r="19" spans="1:30">
      <c r="A19" t="str">
        <f>IF(Calculations!A5&lt;&gt;Parameters!$A$18,IF(Calculations!A5=0,"",Calculations!A5),Inputs!B8)</f>
        <v>Potatoes</v>
      </c>
      <c r="B19" s="36">
        <f>N19</f>
        <v>0</v>
      </c>
      <c r="C19" s="36">
        <f>O19</f>
        <v>43132.39425573054</v>
      </c>
      <c r="D19" s="36">
        <f>P19</f>
        <v>43132.39425573054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43132.39425573054</v>
      </c>
      <c r="J19" s="36">
        <f>V19</f>
        <v>43132.39425573054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43132.39425573054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43132.39425573054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43132.39425573054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43132.39425573054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172529.5770229222</v>
      </c>
      <c r="AA19" s="36">
        <f>SUM(B19:M19)</f>
        <v>172529.5770229222</v>
      </c>
      <c r="AB19" s="36">
        <f>SUM(B19:Y19)</f>
        <v>345059.1540458444</v>
      </c>
      <c r="AC19" s="43"/>
      <c r="AD19" s="43"/>
    </row>
    <row r="20" spans="1:30">
      <c r="A20" t="str">
        <f>IF(Calculations!A6&lt;&gt;Parameters!$A$18,IF(Calculations!A6=0,"",Calculations!A6),Inputs!B9)</f>
        <v>Onions</v>
      </c>
      <c r="B20" s="36">
        <f>N20</f>
        <v>0</v>
      </c>
      <c r="C20" s="36">
        <f>O20</f>
        <v>43837.37246204152</v>
      </c>
      <c r="D20" s="36">
        <f>P20</f>
        <v>43837.37246204152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43837.37246204152</v>
      </c>
      <c r="J20" s="36">
        <f>V20</f>
        <v>43837.37246204152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43837.37246204152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43837.37246204152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43837.37246204152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43837.37246204152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175349.4898481661</v>
      </c>
      <c r="AA20" s="36">
        <f>SUM(B20:M20)</f>
        <v>175349.4898481661</v>
      </c>
      <c r="AB20" s="36">
        <f>SUM(B20:Y20)</f>
        <v>350698.9796963321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24000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30256.57894736842</v>
      </c>
      <c r="C24" s="36">
        <f>IFERROR(Calculations!$P14/12,"")</f>
        <v>30256.57894736842</v>
      </c>
      <c r="D24" s="36">
        <f>IFERROR(Calculations!$P14/12,"")</f>
        <v>30256.57894736842</v>
      </c>
      <c r="E24" s="36">
        <f>IFERROR(Calculations!$P14/12,"")</f>
        <v>30256.57894736842</v>
      </c>
      <c r="F24" s="36">
        <f>IFERROR(Calculations!$P14/12,"")</f>
        <v>30256.57894736842</v>
      </c>
      <c r="G24" s="36">
        <f>IFERROR(Calculations!$P14/12,"")</f>
        <v>30256.57894736842</v>
      </c>
      <c r="H24" s="36">
        <f>IFERROR(Calculations!$P14/12,"")</f>
        <v>30256.57894736842</v>
      </c>
      <c r="I24" s="36">
        <f>IFERROR(Calculations!$P14/12,"")</f>
        <v>30256.57894736842</v>
      </c>
      <c r="J24" s="36">
        <f>IFERROR(Calculations!$P14/12,"")</f>
        <v>30256.57894736842</v>
      </c>
      <c r="K24" s="36">
        <f>IFERROR(Calculations!$P14/12,"")</f>
        <v>30256.57894736842</v>
      </c>
      <c r="L24" s="36">
        <f>IFERROR(Calculations!$P14/12,"")</f>
        <v>30256.57894736842</v>
      </c>
      <c r="M24" s="36">
        <f>IFERROR(Calculations!$P14/12,"")</f>
        <v>30256.57894736842</v>
      </c>
      <c r="N24" s="36">
        <f>IFERROR(Calculations!$P14/12,"")</f>
        <v>30256.57894736842</v>
      </c>
      <c r="O24" s="36">
        <f>IFERROR(Calculations!$P14/12,"")</f>
        <v>30256.57894736842</v>
      </c>
      <c r="P24" s="36">
        <f>IFERROR(Calculations!$P14/12,"")</f>
        <v>30256.57894736842</v>
      </c>
      <c r="Q24" s="36">
        <f>IFERROR(Calculations!$P14/12,"")</f>
        <v>30256.57894736842</v>
      </c>
      <c r="R24" s="36">
        <f>IFERROR(Calculations!$P14/12,"")</f>
        <v>30256.57894736842</v>
      </c>
      <c r="S24" s="36">
        <f>IFERROR(Calculations!$P14/12,"")</f>
        <v>30256.57894736842</v>
      </c>
      <c r="T24" s="36">
        <f>IFERROR(Calculations!$P14/12,"")</f>
        <v>30256.57894736842</v>
      </c>
      <c r="U24" s="36">
        <f>IFERROR(Calculations!$P14/12,"")</f>
        <v>30256.57894736842</v>
      </c>
      <c r="V24" s="36">
        <f>IFERROR(Calculations!$P14/12,"")</f>
        <v>30256.57894736842</v>
      </c>
      <c r="W24" s="36">
        <f>IFERROR(Calculations!$P14/12,"")</f>
        <v>30256.57894736842</v>
      </c>
      <c r="X24" s="36">
        <f>IFERROR(Calculations!$P14/12,"")</f>
        <v>30256.57894736842</v>
      </c>
      <c r="Y24" s="36">
        <f>IFERROR(Calculations!$P14/12,"")</f>
        <v>30256.57894736842</v>
      </c>
      <c r="Z24" s="36">
        <f>SUMIF($B$13:$Y$13,"Yes",B24:Y24)</f>
        <v>393335.5263157895</v>
      </c>
      <c r="AA24" s="36">
        <f>SUM(B24:M24)</f>
        <v>363078.9473684211</v>
      </c>
      <c r="AB24" s="46">
        <f>SUM(B24:Y24)</f>
        <v>726157.8947368421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47007.82963923406</v>
      </c>
      <c r="C30" s="19">
        <f>SUM(C18:C29)</f>
        <v>117226.3456651405</v>
      </c>
      <c r="D30" s="19">
        <f>SUM(D18:D29)</f>
        <v>117226.3456651405</v>
      </c>
      <c r="E30" s="19">
        <f>SUM(E18:E29)</f>
        <v>30256.57894736842</v>
      </c>
      <c r="F30" s="19">
        <f>SUM(F18:F29)</f>
        <v>30256.57894736842</v>
      </c>
      <c r="G30" s="19">
        <f>SUM(G18:G29)</f>
        <v>30256.57894736842</v>
      </c>
      <c r="H30" s="19">
        <f>SUM(H18:H29)</f>
        <v>30256.57894736842</v>
      </c>
      <c r="I30" s="19">
        <f>SUM(I18:I29)</f>
        <v>117226.3456651405</v>
      </c>
      <c r="J30" s="19">
        <f>SUM(J18:J29)</f>
        <v>117226.3456651405</v>
      </c>
      <c r="K30" s="19">
        <f>SUM(K18:K29)</f>
        <v>30256.57894736842</v>
      </c>
      <c r="L30" s="19">
        <f>SUM(L18:L29)</f>
        <v>42221.75801298673</v>
      </c>
      <c r="M30" s="19">
        <f>SUM(M18:M29)</f>
        <v>44614.7938261104</v>
      </c>
      <c r="N30" s="19">
        <f>SUM(N18:N29)</f>
        <v>47007.82963923406</v>
      </c>
      <c r="O30" s="19">
        <f>SUM(O18:O29)</f>
        <v>117226.3456651405</v>
      </c>
      <c r="P30" s="19">
        <f>SUM(P18:P29)</f>
        <v>117226.3456651405</v>
      </c>
      <c r="Q30" s="19">
        <f>SUM(Q18:Q29)</f>
        <v>30256.57894736842</v>
      </c>
      <c r="R30" s="19">
        <f>SUM(R18:R29)</f>
        <v>30256.57894736842</v>
      </c>
      <c r="S30" s="19">
        <f>SUM(S18:S29)</f>
        <v>30256.57894736842</v>
      </c>
      <c r="T30" s="19">
        <f>SUM(T18:T29)</f>
        <v>30256.57894736842</v>
      </c>
      <c r="U30" s="19">
        <f>SUM(U18:U29)</f>
        <v>117226.3456651405</v>
      </c>
      <c r="V30" s="19">
        <f>SUM(V18:V29)</f>
        <v>117226.3456651405</v>
      </c>
      <c r="W30" s="19">
        <f>SUM(W18:W29)</f>
        <v>30256.57894736842</v>
      </c>
      <c r="X30" s="19">
        <f>SUM(X18:X29)</f>
        <v>42221.75801298673</v>
      </c>
      <c r="Y30" s="19">
        <f>SUM(Y18:Y29)</f>
        <v>44614.7938261104</v>
      </c>
      <c r="Z30" s="19">
        <f>SUMIF($B$13:$Y$13,"Yes",B30:Y30)</f>
        <v>801040.4885149694</v>
      </c>
      <c r="AA30" s="19">
        <f>SUM(B30:M30)</f>
        <v>754032.6588757354</v>
      </c>
      <c r="AB30" s="19">
        <f>SUM(B30:Y30)</f>
        <v>1508065.31775147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42979</v>
      </c>
      <c r="C35" s="17">
        <f>C17</f>
        <v>43009</v>
      </c>
      <c r="D35" s="17">
        <f>D17</f>
        <v>43040</v>
      </c>
      <c r="E35" s="17">
        <f>E17</f>
        <v>43070</v>
      </c>
      <c r="F35" s="17">
        <f>F17</f>
        <v>43101</v>
      </c>
      <c r="G35" s="17">
        <f>G17</f>
        <v>43132</v>
      </c>
      <c r="H35" s="17">
        <f>H17</f>
        <v>43160</v>
      </c>
      <c r="I35" s="17">
        <f>I17</f>
        <v>43191</v>
      </c>
      <c r="J35" s="17">
        <f>J17</f>
        <v>43221</v>
      </c>
      <c r="K35" s="17">
        <f>K17</f>
        <v>43252</v>
      </c>
      <c r="L35" s="17">
        <f>L17</f>
        <v>43282</v>
      </c>
      <c r="M35" s="17">
        <f>M17</f>
        <v>43313</v>
      </c>
      <c r="N35" s="17">
        <f>N17</f>
        <v>43344</v>
      </c>
      <c r="O35" s="17">
        <f>O17</f>
        <v>43374</v>
      </c>
      <c r="P35" s="17">
        <f>P17</f>
        <v>43405</v>
      </c>
      <c r="Q35" s="17">
        <f>Q17</f>
        <v>43435</v>
      </c>
      <c r="R35" s="17">
        <f>R17</f>
        <v>43466</v>
      </c>
      <c r="S35" s="17">
        <f>S17</f>
        <v>43497</v>
      </c>
      <c r="T35" s="17">
        <f>T17</f>
        <v>43525</v>
      </c>
      <c r="U35" s="17">
        <f>U17</f>
        <v>43556</v>
      </c>
      <c r="V35" s="17">
        <f>V17</f>
        <v>43586</v>
      </c>
      <c r="W35" s="17">
        <f>W17</f>
        <v>43617</v>
      </c>
      <c r="X35" s="17">
        <f>X17</f>
        <v>43647</v>
      </c>
      <c r="Y35" s="17">
        <f>Y17</f>
        <v>43678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1000</v>
      </c>
      <c r="E36" s="36">
        <f>Q36</f>
        <v>2000</v>
      </c>
      <c r="F36" s="36">
        <f>R36</f>
        <v>4000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1000</v>
      </c>
      <c r="K36" s="36">
        <f>W36</f>
        <v>2000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1000</v>
      </c>
      <c r="Q36" s="36">
        <f>SUM(Q37:Q41)</f>
        <v>2000</v>
      </c>
      <c r="R36" s="36">
        <f>SUM(R37:R41)</f>
        <v>4000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1000</v>
      </c>
      <c r="W36" s="36">
        <f>SUM(W37:W41)</f>
        <v>2000</v>
      </c>
      <c r="X36" s="36">
        <f>SUM(X37:X41)</f>
        <v>0</v>
      </c>
      <c r="Y36" s="36">
        <f>SUM(Y37:Y41)</f>
        <v>0</v>
      </c>
      <c r="Z36" s="36">
        <f>SUMIF($B$13:$Y$13,"Yes",B36:Y36)</f>
        <v>10000</v>
      </c>
      <c r="AA36" s="36">
        <f>SUM(B36:M36)</f>
        <v>10000</v>
      </c>
      <c r="AB36" s="36">
        <f>SUM(B36:Y36)</f>
        <v>20000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4000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4000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Potatoes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2000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2000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2000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2000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4000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 t="str">
        <f>Calculations!$A$6</f>
        <v>Onions</v>
      </c>
      <c r="B39" s="36">
        <f>N39</f>
        <v>0</v>
      </c>
      <c r="C39" s="36">
        <f>O39</f>
        <v>0</v>
      </c>
      <c r="D39" s="36">
        <f>P39</f>
        <v>1000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1000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1000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1000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2000</v>
      </c>
      <c r="AA39" s="36">
        <f>SUM(B39:M39)</f>
        <v>2000</v>
      </c>
      <c r="AB39" s="36">
        <f>SUM(B39:Y39)</f>
        <v>4000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750</v>
      </c>
      <c r="E42" s="36">
        <f>Q42</f>
        <v>24000</v>
      </c>
      <c r="F42" s="36">
        <f>R42</f>
        <v>606.0000000000001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750</v>
      </c>
      <c r="K42" s="36">
        <f>W42</f>
        <v>24000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750</v>
      </c>
      <c r="Q42" s="36">
        <f>SUM(Q43:Q47)</f>
        <v>24000</v>
      </c>
      <c r="R42" s="36">
        <f>SUM(R43:R47)</f>
        <v>606.0000000000001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750</v>
      </c>
      <c r="W42" s="36">
        <f>SUM(W43:W47)</f>
        <v>24000</v>
      </c>
      <c r="X42" s="36">
        <f>SUM(X43:X47)</f>
        <v>0</v>
      </c>
      <c r="Y42" s="36">
        <f>SUM(Y43:Y47)</f>
        <v>0</v>
      </c>
      <c r="Z42" s="36">
        <f>SUMIF($B$13:$Y$13,"Yes",B42:Y42)</f>
        <v>50106</v>
      </c>
      <c r="AA42" s="36">
        <f>SUM(B42:M42)</f>
        <v>50106</v>
      </c>
      <c r="AB42" s="36">
        <f>SUM(B42:Y42)</f>
        <v>100212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606.0000000000001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606.0000000000001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606.0000000000001</v>
      </c>
      <c r="AA43" s="36">
        <f>SUM(B43:M43)</f>
        <v>606.0000000000001</v>
      </c>
      <c r="AB43" s="36">
        <f>SUM(B43:Y43)</f>
        <v>1212</v>
      </c>
    </row>
    <row r="44" spans="1:30" hidden="true" outlineLevel="1">
      <c r="A44" s="181" t="str">
        <f>Calculations!$A$5</f>
        <v>Potatoes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24000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24000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24000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24000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48000</v>
      </c>
      <c r="AA44" s="36">
        <f>SUM(B44:M44)</f>
        <v>48000</v>
      </c>
      <c r="AB44" s="36">
        <f>SUM(B44:Y44)</f>
        <v>96000</v>
      </c>
    </row>
    <row r="45" spans="1:30" hidden="true" outlineLevel="1">
      <c r="A45" s="181" t="str">
        <f>Calculations!$A$6</f>
        <v>Onions</v>
      </c>
      <c r="B45" s="36">
        <f>N45</f>
        <v>0</v>
      </c>
      <c r="C45" s="36">
        <f>O45</f>
        <v>0</v>
      </c>
      <c r="D45" s="36">
        <f>P45</f>
        <v>750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750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750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750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1500</v>
      </c>
      <c r="AA45" s="36">
        <f>SUM(B45:M45)</f>
        <v>1500</v>
      </c>
      <c r="AB45" s="36">
        <f>SUM(B45:Y45)</f>
        <v>3000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5300</v>
      </c>
      <c r="H48" s="36">
        <f>T48</f>
        <v>0</v>
      </c>
      <c r="I48" s="36">
        <f>U48</f>
        <v>600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5300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5300</v>
      </c>
      <c r="T48" s="46">
        <f>SUM(T49:T53)</f>
        <v>0</v>
      </c>
      <c r="U48" s="46">
        <f>SUM(U49:U53)</f>
        <v>600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5300</v>
      </c>
      <c r="Z48" s="46">
        <f>SUMIF($B$13:$Y$13,"Yes",B48:Y48)</f>
        <v>11200</v>
      </c>
      <c r="AA48" s="46">
        <f>SUM(B48:M48)</f>
        <v>11200</v>
      </c>
      <c r="AB48" s="46">
        <f>SUM(B48:Y48)</f>
        <v>22400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600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600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600</v>
      </c>
      <c r="AA49" s="46">
        <f>SUM(B49:M49)</f>
        <v>600</v>
      </c>
      <c r="AB49" s="46">
        <f>SUM(B49:Y49)</f>
        <v>1200</v>
      </c>
    </row>
    <row r="50" spans="1:30" hidden="true" outlineLevel="1">
      <c r="A50" s="181" t="str">
        <f>Calculations!$A$5</f>
        <v>Potatoes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4300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4300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4300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4300</v>
      </c>
      <c r="Z50" s="46">
        <f>SUMIF($B$13:$Y$13,"Yes",B50:Y50)</f>
        <v>8600</v>
      </c>
      <c r="AA50" s="46">
        <f>SUM(B50:M50)</f>
        <v>8600</v>
      </c>
      <c r="AB50" s="46">
        <f>SUM(B50:Y50)</f>
        <v>17200</v>
      </c>
    </row>
    <row r="51" spans="1:30" hidden="true" outlineLevel="1">
      <c r="A51" s="181" t="str">
        <f>Calculations!$A$6</f>
        <v>Onions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1000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1000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1000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1000</v>
      </c>
      <c r="Z51" s="46">
        <f>SUMIF($B$13:$Y$13,"Yes",B51:Y51)</f>
        <v>2000</v>
      </c>
      <c r="AA51" s="46">
        <f>SUM(B51:M51)</f>
        <v>2000</v>
      </c>
      <c r="AB51" s="46">
        <f>SUM(B51:Y51)</f>
        <v>4000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8736.479952673688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8736.479952673688</v>
      </c>
      <c r="Y54" s="46">
        <f>SUM(Y55:Y59)</f>
        <v>0</v>
      </c>
      <c r="Z54" s="46">
        <f>SUMIF($B$13:$Y$13,"Yes",B54:Y54)</f>
        <v>8736.479952673688</v>
      </c>
      <c r="AA54" s="46">
        <f>SUM(B54:M54)</f>
        <v>8736.479952673688</v>
      </c>
      <c r="AB54" s="46">
        <f>SUM(B54:Y54)</f>
        <v>17472.95990534738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8736.479952673688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8736.479952673688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8736.479952673688</v>
      </c>
      <c r="AA55" s="46">
        <f>SUM(B55:M55)</f>
        <v>8736.479952673688</v>
      </c>
      <c r="AB55" s="46">
        <f>SUM(B55:Y55)</f>
        <v>17472.95990534738</v>
      </c>
    </row>
    <row r="56" spans="1:30" hidden="true" outlineLevel="1">
      <c r="A56" s="181" t="str">
        <f>Calculations!$A$5</f>
        <v>Potatoes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Onions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1583.333333333333</v>
      </c>
      <c r="C60" s="36">
        <f>O60</f>
        <v>1583.333333333333</v>
      </c>
      <c r="D60" s="36">
        <f>P60</f>
        <v>583.3333333333334</v>
      </c>
      <c r="E60" s="36">
        <f>Q60</f>
        <v>1583.333333333333</v>
      </c>
      <c r="F60" s="36">
        <f>R60</f>
        <v>3011.904761904762</v>
      </c>
      <c r="G60" s="36">
        <f>S60</f>
        <v>3011.904761904762</v>
      </c>
      <c r="H60" s="36">
        <f>T60</f>
        <v>3011.904761904762</v>
      </c>
      <c r="I60" s="36">
        <f>U60</f>
        <v>3011.904761904762</v>
      </c>
      <c r="J60" s="36">
        <f>V60</f>
        <v>2011.904761904762</v>
      </c>
      <c r="K60" s="36">
        <f>W60</f>
        <v>3011.904761904762</v>
      </c>
      <c r="L60" s="36">
        <f>X60</f>
        <v>3011.904761904762</v>
      </c>
      <c r="M60" s="36">
        <f>Y60</f>
        <v>1583.333333333333</v>
      </c>
      <c r="N60" s="46">
        <f>SUM(N61:N65)</f>
        <v>1583.333333333333</v>
      </c>
      <c r="O60" s="46">
        <f>SUM(O61:O65)</f>
        <v>1583.333333333333</v>
      </c>
      <c r="P60" s="46">
        <f>SUM(P61:P65)</f>
        <v>583.3333333333334</v>
      </c>
      <c r="Q60" s="46">
        <f>SUM(Q61:Q65)</f>
        <v>1583.333333333333</v>
      </c>
      <c r="R60" s="46">
        <f>SUM(R61:R65)</f>
        <v>3011.904761904762</v>
      </c>
      <c r="S60" s="46">
        <f>SUM(S61:S65)</f>
        <v>3011.904761904762</v>
      </c>
      <c r="T60" s="46">
        <f>SUM(T61:T65)</f>
        <v>3011.904761904762</v>
      </c>
      <c r="U60" s="46">
        <f>SUM(U61:U65)</f>
        <v>3011.904761904762</v>
      </c>
      <c r="V60" s="46">
        <f>SUM(V61:V65)</f>
        <v>2011.904761904762</v>
      </c>
      <c r="W60" s="46">
        <f>SUM(W61:W65)</f>
        <v>3011.904761904762</v>
      </c>
      <c r="X60" s="46">
        <f>SUM(X61:X65)</f>
        <v>3011.904761904762</v>
      </c>
      <c r="Y60" s="46">
        <f>SUM(Y61:Y65)</f>
        <v>1583.333333333333</v>
      </c>
      <c r="Z60" s="46">
        <f>SUMIF($B$13:$Y$13,"Yes",B60:Y60)</f>
        <v>28583.33333333334</v>
      </c>
      <c r="AA60" s="46">
        <f>SUM(B60:M60)</f>
        <v>27000</v>
      </c>
      <c r="AB60" s="46">
        <f>SUM(B60:Y60)</f>
        <v>54000.00000000001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1428.571428571429</v>
      </c>
      <c r="G61" s="36">
        <f>S61</f>
        <v>1428.571428571429</v>
      </c>
      <c r="H61" s="36">
        <f>T61</f>
        <v>1428.571428571429</v>
      </c>
      <c r="I61" s="36">
        <f>U61</f>
        <v>1428.571428571429</v>
      </c>
      <c r="J61" s="36">
        <f>V61</f>
        <v>1428.571428571429</v>
      </c>
      <c r="K61" s="36">
        <f>W61</f>
        <v>1428.571428571429</v>
      </c>
      <c r="L61" s="36">
        <f>X61</f>
        <v>1428.571428571429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1428.571428571429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1428.571428571429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1428.571428571429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1428.571428571429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1428.571428571429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1428.571428571429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1428.571428571429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10000</v>
      </c>
      <c r="AA61" s="46">
        <f>SUM(B61:M61)</f>
        <v>10000</v>
      </c>
      <c r="AB61" s="46">
        <f>SUM(B61:Y61)</f>
        <v>20000</v>
      </c>
    </row>
    <row r="62" spans="1:30" hidden="true" outlineLevel="1">
      <c r="A62" s="181" t="str">
        <f>Calculations!$A$5</f>
        <v>Potatoes</v>
      </c>
      <c r="B62" s="36">
        <f>N62</f>
        <v>1000</v>
      </c>
      <c r="C62" s="36">
        <f>O62</f>
        <v>1000</v>
      </c>
      <c r="D62" s="36">
        <f>P62</f>
        <v>0</v>
      </c>
      <c r="E62" s="36">
        <f>Q62</f>
        <v>1000</v>
      </c>
      <c r="F62" s="36">
        <f>R62</f>
        <v>1000</v>
      </c>
      <c r="G62" s="36">
        <f>S62</f>
        <v>1000</v>
      </c>
      <c r="H62" s="36">
        <f>T62</f>
        <v>1000</v>
      </c>
      <c r="I62" s="36">
        <f>U62</f>
        <v>1000</v>
      </c>
      <c r="J62" s="36">
        <f>V62</f>
        <v>0</v>
      </c>
      <c r="K62" s="36">
        <f>W62</f>
        <v>1000</v>
      </c>
      <c r="L62" s="36">
        <f>X62</f>
        <v>1000</v>
      </c>
      <c r="M62" s="36">
        <f>Y62</f>
        <v>1000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1000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1000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1000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1000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1000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1000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1000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1000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1000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1000</v>
      </c>
      <c r="Z62" s="46">
        <f>SUMIF($B$13:$Y$13,"Yes",B62:Y62)</f>
        <v>11000</v>
      </c>
      <c r="AA62" s="46">
        <f>SUM(B62:M62)</f>
        <v>10000</v>
      </c>
      <c r="AB62" s="46">
        <f>SUM(B62:Y62)</f>
        <v>20000</v>
      </c>
    </row>
    <row r="63" spans="1:30" hidden="true" outlineLevel="1">
      <c r="A63" s="181" t="str">
        <f>Calculations!$A$6</f>
        <v>Onions</v>
      </c>
      <c r="B63" s="36">
        <f>N63</f>
        <v>583.3333333333334</v>
      </c>
      <c r="C63" s="36">
        <f>O63</f>
        <v>583.3333333333334</v>
      </c>
      <c r="D63" s="36">
        <f>P63</f>
        <v>583.3333333333334</v>
      </c>
      <c r="E63" s="36">
        <f>Q63</f>
        <v>583.3333333333334</v>
      </c>
      <c r="F63" s="36">
        <f>R63</f>
        <v>583.3333333333334</v>
      </c>
      <c r="G63" s="36">
        <f>S63</f>
        <v>583.3333333333334</v>
      </c>
      <c r="H63" s="36">
        <f>T63</f>
        <v>583.3333333333334</v>
      </c>
      <c r="I63" s="36">
        <f>U63</f>
        <v>583.3333333333334</v>
      </c>
      <c r="J63" s="36">
        <f>V63</f>
        <v>583.3333333333334</v>
      </c>
      <c r="K63" s="36">
        <f>W63</f>
        <v>583.3333333333334</v>
      </c>
      <c r="L63" s="36">
        <f>X63</f>
        <v>583.3333333333334</v>
      </c>
      <c r="M63" s="36">
        <f>Y63</f>
        <v>583.3333333333334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583.3333333333334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583.3333333333334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583.3333333333334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583.3333333333334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583.3333333333334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583.3333333333334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583.3333333333334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583.3333333333334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583.3333333333334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583.3333333333334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583.3333333333334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583.3333333333334</v>
      </c>
      <c r="Z63" s="46">
        <f>SUMIF($B$13:$Y$13,"Yes",B63:Y63)</f>
        <v>7583.333333333332</v>
      </c>
      <c r="AA63" s="46">
        <f>SUM(B63:M63)</f>
        <v>6999.999999999999</v>
      </c>
      <c r="AB63" s="46">
        <f>SUM(B63:Y63)</f>
        <v>14000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584</v>
      </c>
      <c r="C66" s="36">
        <f>O66</f>
        <v>584</v>
      </c>
      <c r="D66" s="36">
        <f>P66</f>
        <v>200</v>
      </c>
      <c r="E66" s="36">
        <f>Q66</f>
        <v>584</v>
      </c>
      <c r="F66" s="36">
        <f>R66</f>
        <v>1132.571428571428</v>
      </c>
      <c r="G66" s="36">
        <f>S66</f>
        <v>1132.571428571428</v>
      </c>
      <c r="H66" s="36">
        <f>T66</f>
        <v>1132.571428571428</v>
      </c>
      <c r="I66" s="36">
        <f>U66</f>
        <v>1132.571428571428</v>
      </c>
      <c r="J66" s="36">
        <f>V66</f>
        <v>748.5714285714286</v>
      </c>
      <c r="K66" s="36">
        <f>W66</f>
        <v>1132.571428571428</v>
      </c>
      <c r="L66" s="36">
        <f>X66</f>
        <v>1132.571428571428</v>
      </c>
      <c r="M66" s="36">
        <f>Y66</f>
        <v>584</v>
      </c>
      <c r="N66" s="46">
        <f>SUM(N67:N71)</f>
        <v>584</v>
      </c>
      <c r="O66" s="46">
        <f>SUM(O67:O71)</f>
        <v>584</v>
      </c>
      <c r="P66" s="46">
        <f>SUM(P67:P71)</f>
        <v>200</v>
      </c>
      <c r="Q66" s="46">
        <f>SUM(Q67:Q71)</f>
        <v>584</v>
      </c>
      <c r="R66" s="46">
        <f>SUM(R67:R71)</f>
        <v>1132.571428571428</v>
      </c>
      <c r="S66" s="46">
        <f>SUM(S67:S71)</f>
        <v>1132.571428571428</v>
      </c>
      <c r="T66" s="46">
        <f>SUM(T67:T71)</f>
        <v>1132.571428571428</v>
      </c>
      <c r="U66" s="46">
        <f>SUM(U67:U71)</f>
        <v>1132.571428571428</v>
      </c>
      <c r="V66" s="46">
        <f>SUM(V67:V71)</f>
        <v>748.5714285714286</v>
      </c>
      <c r="W66" s="46">
        <f>SUM(W67:W71)</f>
        <v>1132.571428571428</v>
      </c>
      <c r="X66" s="46">
        <f>SUM(X67:X71)</f>
        <v>1132.571428571428</v>
      </c>
      <c r="Y66" s="46">
        <f>SUM(Y67:Y71)</f>
        <v>584</v>
      </c>
      <c r="Z66" s="46">
        <f>SUMIF($B$13:$Y$13,"Yes",B66:Y66)</f>
        <v>10664</v>
      </c>
      <c r="AA66" s="46">
        <f>SUM(B66:M66)</f>
        <v>10080</v>
      </c>
      <c r="AB66" s="46">
        <f>SUM(B66:Y66)</f>
        <v>20159.99999999999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548.5714285714286</v>
      </c>
      <c r="G67" s="36">
        <f>S67</f>
        <v>548.5714285714286</v>
      </c>
      <c r="H67" s="36">
        <f>T67</f>
        <v>548.5714285714286</v>
      </c>
      <c r="I67" s="36">
        <f>U67</f>
        <v>548.5714285714286</v>
      </c>
      <c r="J67" s="36">
        <f>V67</f>
        <v>548.5714285714286</v>
      </c>
      <c r="K67" s="36">
        <f>W67</f>
        <v>548.5714285714286</v>
      </c>
      <c r="L67" s="36">
        <f>X67</f>
        <v>548.5714285714286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548.5714285714286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548.5714285714286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548.5714285714286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548.5714285714286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548.5714285714286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548.5714285714286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548.5714285714286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3840</v>
      </c>
      <c r="AA67" s="46">
        <f>SUM(B67:M67)</f>
        <v>3840</v>
      </c>
      <c r="AB67" s="46">
        <f>SUM(B67:Y67)</f>
        <v>7679.999999999999</v>
      </c>
    </row>
    <row r="68" spans="1:30" hidden="true" outlineLevel="1">
      <c r="A68" s="181" t="str">
        <f>Calculations!$A$5</f>
        <v>Potatoes</v>
      </c>
      <c r="B68" s="36">
        <f>N68</f>
        <v>384</v>
      </c>
      <c r="C68" s="36">
        <f>O68</f>
        <v>384</v>
      </c>
      <c r="D68" s="36">
        <f>P68</f>
        <v>0</v>
      </c>
      <c r="E68" s="36">
        <f>Q68</f>
        <v>384</v>
      </c>
      <c r="F68" s="36">
        <f>R68</f>
        <v>384</v>
      </c>
      <c r="G68" s="36">
        <f>S68</f>
        <v>384</v>
      </c>
      <c r="H68" s="36">
        <f>T68</f>
        <v>384</v>
      </c>
      <c r="I68" s="36">
        <f>U68</f>
        <v>384</v>
      </c>
      <c r="J68" s="36">
        <f>V68</f>
        <v>0</v>
      </c>
      <c r="K68" s="36">
        <f>W68</f>
        <v>384</v>
      </c>
      <c r="L68" s="36">
        <f>X68</f>
        <v>384</v>
      </c>
      <c r="M68" s="36">
        <f>Y68</f>
        <v>384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384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384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384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384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384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384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384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384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384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384</v>
      </c>
      <c r="Z68" s="46">
        <f>SUMIF($B$13:$Y$13,"Yes",B68:Y68)</f>
        <v>4224</v>
      </c>
      <c r="AA68" s="46">
        <f>SUM(B68:M68)</f>
        <v>3840</v>
      </c>
      <c r="AB68" s="46">
        <f>SUM(B68:Y68)</f>
        <v>7680</v>
      </c>
    </row>
    <row r="69" spans="1:30" hidden="true" outlineLevel="1">
      <c r="A69" s="181" t="str">
        <f>Calculations!$A$6</f>
        <v>Onions</v>
      </c>
      <c r="B69" s="36">
        <f>N69</f>
        <v>200</v>
      </c>
      <c r="C69" s="36">
        <f>O69</f>
        <v>200</v>
      </c>
      <c r="D69" s="36">
        <f>P69</f>
        <v>200</v>
      </c>
      <c r="E69" s="36">
        <f>Q69</f>
        <v>200</v>
      </c>
      <c r="F69" s="36">
        <f>R69</f>
        <v>200</v>
      </c>
      <c r="G69" s="36">
        <f>S69</f>
        <v>200</v>
      </c>
      <c r="H69" s="36">
        <f>T69</f>
        <v>200</v>
      </c>
      <c r="I69" s="36">
        <f>U69</f>
        <v>200</v>
      </c>
      <c r="J69" s="36">
        <f>V69</f>
        <v>200</v>
      </c>
      <c r="K69" s="36">
        <f>W69</f>
        <v>200</v>
      </c>
      <c r="L69" s="36">
        <f>X69</f>
        <v>200</v>
      </c>
      <c r="M69" s="36">
        <f>Y69</f>
        <v>200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200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200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200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200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200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200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200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200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200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200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200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200</v>
      </c>
      <c r="Z69" s="46">
        <f>SUMIF($B$13:$Y$13,"Yes",B69:Y69)</f>
        <v>2600</v>
      </c>
      <c r="AA69" s="46">
        <f>SUM(B69:M69)</f>
        <v>2400</v>
      </c>
      <c r="AB69" s="46">
        <f>SUM(B69:Y69)</f>
        <v>4800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1520.833333333333</v>
      </c>
      <c r="C74" s="46">
        <f>SUM(Calculations!$Q$14:$Q$16)/12</f>
        <v>1520.833333333333</v>
      </c>
      <c r="D74" s="46">
        <f>SUM(Calculations!$Q$14:$Q$16)/12</f>
        <v>1520.833333333333</v>
      </c>
      <c r="E74" s="46">
        <f>SUM(Calculations!$Q$14:$Q$16)/12</f>
        <v>1520.833333333333</v>
      </c>
      <c r="F74" s="46">
        <f>SUM(Calculations!$Q$14:$Q$16)/12</f>
        <v>1520.833333333333</v>
      </c>
      <c r="G74" s="46">
        <f>SUM(Calculations!$Q$14:$Q$16)/12</f>
        <v>1520.833333333333</v>
      </c>
      <c r="H74" s="46">
        <f>SUM(Calculations!$Q$14:$Q$16)/12</f>
        <v>1520.833333333333</v>
      </c>
      <c r="I74" s="46">
        <f>SUM(Calculations!$Q$14:$Q$16)/12</f>
        <v>1520.833333333333</v>
      </c>
      <c r="J74" s="46">
        <f>SUM(Calculations!$Q$14:$Q$16)/12</f>
        <v>1520.833333333333</v>
      </c>
      <c r="K74" s="46">
        <f>SUM(Calculations!$Q$14:$Q$16)/12</f>
        <v>1520.833333333333</v>
      </c>
      <c r="L74" s="46">
        <f>SUM(Calculations!$Q$14:$Q$16)/12</f>
        <v>1520.833333333333</v>
      </c>
      <c r="M74" s="46">
        <f>SUM(Calculations!$Q$14:$Q$16)/12</f>
        <v>1520.833333333333</v>
      </c>
      <c r="N74" s="46">
        <f>SUM(Calculations!$Q$14:$Q$16)/12</f>
        <v>1520.833333333333</v>
      </c>
      <c r="O74" s="46">
        <f>SUM(Calculations!$Q$14:$Q$16)/12</f>
        <v>1520.833333333333</v>
      </c>
      <c r="P74" s="46">
        <f>SUM(Calculations!$Q$14:$Q$16)/12</f>
        <v>1520.833333333333</v>
      </c>
      <c r="Q74" s="46">
        <f>SUM(Calculations!$Q$14:$Q$16)/12</f>
        <v>1520.833333333333</v>
      </c>
      <c r="R74" s="46">
        <f>SUM(Calculations!$Q$14:$Q$16)/12</f>
        <v>1520.833333333333</v>
      </c>
      <c r="S74" s="46">
        <f>SUM(Calculations!$Q$14:$Q$16)/12</f>
        <v>1520.833333333333</v>
      </c>
      <c r="T74" s="46">
        <f>SUM(Calculations!$Q$14:$Q$16)/12</f>
        <v>1520.833333333333</v>
      </c>
      <c r="U74" s="46">
        <f>SUM(Calculations!$Q$14:$Q$16)/12</f>
        <v>1520.833333333333</v>
      </c>
      <c r="V74" s="46">
        <f>SUM(Calculations!$Q$14:$Q$16)/12</f>
        <v>1520.833333333333</v>
      </c>
      <c r="W74" s="46">
        <f>SUM(Calculations!$Q$14:$Q$16)/12</f>
        <v>1520.833333333333</v>
      </c>
      <c r="X74" s="46">
        <f>SUM(Calculations!$Q$14:$Q$16)/12</f>
        <v>1520.833333333333</v>
      </c>
      <c r="Y74" s="46">
        <f>SUM(Calculations!$Q$14:$Q$16)/12</f>
        <v>1520.833333333333</v>
      </c>
      <c r="Z74" s="46">
        <f>SUMIF($B$13:$Y$13,"Yes",B74:Y74)</f>
        <v>19770.83333333333</v>
      </c>
      <c r="AA74" s="46">
        <f>SUM(B74:M74)</f>
        <v>18250</v>
      </c>
      <c r="AB74" s="46">
        <f>SUM(B74:Y74)</f>
        <v>36499.99999999999</v>
      </c>
    </row>
    <row r="75" spans="1:30">
      <c r="A75" s="16" t="s">
        <v>47</v>
      </c>
      <c r="B75" s="46">
        <f>SUM(Calculations!$R$14:$R$16)/12</f>
        <v>166.6666666666667</v>
      </c>
      <c r="C75" s="46">
        <f>SUM(Calculations!$R$14:$R$16)/12</f>
        <v>166.6666666666667</v>
      </c>
      <c r="D75" s="46">
        <f>SUM(Calculations!$R$14:$R$16)/12</f>
        <v>166.6666666666667</v>
      </c>
      <c r="E75" s="46">
        <f>SUM(Calculations!$R$14:$R$16)/12</f>
        <v>166.6666666666667</v>
      </c>
      <c r="F75" s="46">
        <f>SUM(Calculations!$R$14:$R$16)/12</f>
        <v>166.6666666666667</v>
      </c>
      <c r="G75" s="46">
        <f>SUM(Calculations!$R$14:$R$16)/12</f>
        <v>166.6666666666667</v>
      </c>
      <c r="H75" s="46">
        <f>SUM(Calculations!$R$14:$R$16)/12</f>
        <v>166.6666666666667</v>
      </c>
      <c r="I75" s="46">
        <f>SUM(Calculations!$R$14:$R$16)/12</f>
        <v>166.6666666666667</v>
      </c>
      <c r="J75" s="46">
        <f>SUM(Calculations!$R$14:$R$16)/12</f>
        <v>166.6666666666667</v>
      </c>
      <c r="K75" s="46">
        <f>SUM(Calculations!$R$14:$R$16)/12</f>
        <v>166.6666666666667</v>
      </c>
      <c r="L75" s="46">
        <f>SUM(Calculations!$R$14:$R$16)/12</f>
        <v>166.6666666666667</v>
      </c>
      <c r="M75" s="46">
        <f>SUM(Calculations!$R$14:$R$16)/12</f>
        <v>166.6666666666667</v>
      </c>
      <c r="N75" s="46">
        <f>SUM(Calculations!$R$14:$R$16)/12</f>
        <v>166.6666666666667</v>
      </c>
      <c r="O75" s="46">
        <f>SUM(Calculations!$R$14:$R$16)/12</f>
        <v>166.6666666666667</v>
      </c>
      <c r="P75" s="46">
        <f>SUM(Calculations!$R$14:$R$16)/12</f>
        <v>166.6666666666667</v>
      </c>
      <c r="Q75" s="46">
        <f>SUM(Calculations!$R$14:$R$16)/12</f>
        <v>166.6666666666667</v>
      </c>
      <c r="R75" s="46">
        <f>SUM(Calculations!$R$14:$R$16)/12</f>
        <v>166.6666666666667</v>
      </c>
      <c r="S75" s="46">
        <f>SUM(Calculations!$R$14:$R$16)/12</f>
        <v>166.6666666666667</v>
      </c>
      <c r="T75" s="46">
        <f>SUM(Calculations!$R$14:$R$16)/12</f>
        <v>166.6666666666667</v>
      </c>
      <c r="U75" s="46">
        <f>SUM(Calculations!$R$14:$R$16)/12</f>
        <v>166.6666666666667</v>
      </c>
      <c r="V75" s="46">
        <f>SUM(Calculations!$R$14:$R$16)/12</f>
        <v>166.6666666666667</v>
      </c>
      <c r="W75" s="46">
        <f>SUM(Calculations!$R$14:$R$16)/12</f>
        <v>166.6666666666667</v>
      </c>
      <c r="X75" s="46">
        <f>SUM(Calculations!$R$14:$R$16)/12</f>
        <v>166.6666666666667</v>
      </c>
      <c r="Y75" s="46">
        <f>SUM(Calculations!$R$14:$R$16)/12</f>
        <v>166.6666666666667</v>
      </c>
      <c r="Z75" s="46">
        <f>SUMIF($B$13:$Y$13,"Yes",B75:Y75)</f>
        <v>2166.666666666667</v>
      </c>
      <c r="AA75" s="46">
        <f>SUM(B75:M75)</f>
        <v>2000</v>
      </c>
      <c r="AB75" s="46">
        <f>SUM(B75:Y75)</f>
        <v>3999.999999999999</v>
      </c>
    </row>
    <row r="76" spans="1:30">
      <c r="A76" s="16" t="s">
        <v>48</v>
      </c>
      <c r="B76" s="46">
        <f>SUM(Calculations!$S$14:$S$16)/12</f>
        <v>1000</v>
      </c>
      <c r="C76" s="46">
        <f>SUM(Calculations!$S$14:$S$16)/12</f>
        <v>1000</v>
      </c>
      <c r="D76" s="46">
        <f>SUM(Calculations!$S$14:$S$16)/12</f>
        <v>1000</v>
      </c>
      <c r="E76" s="46">
        <f>SUM(Calculations!$S$14:$S$16)/12</f>
        <v>1000</v>
      </c>
      <c r="F76" s="46">
        <f>SUM(Calculations!$S$14:$S$16)/12</f>
        <v>1000</v>
      </c>
      <c r="G76" s="46">
        <f>SUM(Calculations!$S$14:$S$16)/12</f>
        <v>1000</v>
      </c>
      <c r="H76" s="46">
        <f>SUM(Calculations!$S$14:$S$16)/12</f>
        <v>1000</v>
      </c>
      <c r="I76" s="46">
        <f>SUM(Calculations!$S$14:$S$16)/12</f>
        <v>1000</v>
      </c>
      <c r="J76" s="46">
        <f>SUM(Calculations!$S$14:$S$16)/12</f>
        <v>1000</v>
      </c>
      <c r="K76" s="46">
        <f>SUM(Calculations!$S$14:$S$16)/12</f>
        <v>1000</v>
      </c>
      <c r="L76" s="46">
        <f>SUM(Calculations!$S$14:$S$16)/12</f>
        <v>1000</v>
      </c>
      <c r="M76" s="46">
        <f>SUM(Calculations!$S$14:$S$16)/12</f>
        <v>1000</v>
      </c>
      <c r="N76" s="46">
        <f>SUM(Calculations!$S$14:$S$16)/12</f>
        <v>1000</v>
      </c>
      <c r="O76" s="46">
        <f>SUM(Calculations!$S$14:$S$16)/12</f>
        <v>1000</v>
      </c>
      <c r="P76" s="46">
        <f>SUM(Calculations!$S$14:$S$16)/12</f>
        <v>1000</v>
      </c>
      <c r="Q76" s="46">
        <f>SUM(Calculations!$S$14:$S$16)/12</f>
        <v>1000</v>
      </c>
      <c r="R76" s="46">
        <f>SUM(Calculations!$S$14:$S$16)/12</f>
        <v>1000</v>
      </c>
      <c r="S76" s="46">
        <f>SUM(Calculations!$S$14:$S$16)/12</f>
        <v>1000</v>
      </c>
      <c r="T76" s="46">
        <f>SUM(Calculations!$S$14:$S$16)/12</f>
        <v>1000</v>
      </c>
      <c r="U76" s="46">
        <f>SUM(Calculations!$S$14:$S$16)/12</f>
        <v>1000</v>
      </c>
      <c r="V76" s="46">
        <f>SUM(Calculations!$S$14:$S$16)/12</f>
        <v>1000</v>
      </c>
      <c r="W76" s="46">
        <f>SUM(Calculations!$S$14:$S$16)/12</f>
        <v>1000</v>
      </c>
      <c r="X76" s="46">
        <f>SUM(Calculations!$S$14:$S$16)/12</f>
        <v>1000</v>
      </c>
      <c r="Y76" s="46">
        <f>SUM(Calculations!$S$14:$S$16)/12</f>
        <v>1000</v>
      </c>
      <c r="Z76" s="46">
        <f>SUMIF($B$13:$Y$13,"Yes",B76:Y76)</f>
        <v>13000</v>
      </c>
      <c r="AA76" s="46">
        <f>SUM(B76:M76)</f>
        <v>12000</v>
      </c>
      <c r="AB76" s="46">
        <f>SUM(B76:Y76)</f>
        <v>24000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20155.33929743539</v>
      </c>
      <c r="C81" s="46">
        <f>(SUM($AA$18:$AA$29)-SUM($AA$36,$AA$42,$AA$48,$AA$54,$AA$60,$AA$66,$AA$72:$AA$79))*Parameters!$B$37/12</f>
        <v>20155.33929743539</v>
      </c>
      <c r="D81" s="46">
        <f>(SUM($AA$18:$AA$29)-SUM($AA$36,$AA$42,$AA$48,$AA$54,$AA$60,$AA$66,$AA$72:$AA$79))*Parameters!$B$37/12</f>
        <v>20155.33929743539</v>
      </c>
      <c r="E81" s="46">
        <f>(SUM($AA$18:$AA$29)-SUM($AA$36,$AA$42,$AA$48,$AA$54,$AA$60,$AA$66,$AA$72:$AA$79))*Parameters!$B$37/12</f>
        <v>20155.33929743539</v>
      </c>
      <c r="F81" s="46">
        <f>(SUM($AA$18:$AA$29)-SUM($AA$36,$AA$42,$AA$48,$AA$54,$AA$60,$AA$66,$AA$72:$AA$79))*Parameters!$B$37/12</f>
        <v>20155.33929743539</v>
      </c>
      <c r="G81" s="46">
        <f>(SUM($AA$18:$AA$29)-SUM($AA$36,$AA$42,$AA$48,$AA$54,$AA$60,$AA$66,$AA$72:$AA$79))*Parameters!$B$37/12</f>
        <v>20155.33929743539</v>
      </c>
      <c r="H81" s="46">
        <f>(SUM($AA$18:$AA$29)-SUM($AA$36,$AA$42,$AA$48,$AA$54,$AA$60,$AA$66,$AA$72:$AA$79))*Parameters!$B$37/12</f>
        <v>20155.33929743539</v>
      </c>
      <c r="I81" s="46">
        <f>(SUM($AA$18:$AA$29)-SUM($AA$36,$AA$42,$AA$48,$AA$54,$AA$60,$AA$66,$AA$72:$AA$79))*Parameters!$B$37/12</f>
        <v>20155.33929743539</v>
      </c>
      <c r="J81" s="46">
        <f>(SUM($AA$18:$AA$29)-SUM($AA$36,$AA$42,$AA$48,$AA$54,$AA$60,$AA$66,$AA$72:$AA$79))*Parameters!$B$37/12</f>
        <v>20155.33929743539</v>
      </c>
      <c r="K81" s="46">
        <f>(SUM($AA$18:$AA$29)-SUM($AA$36,$AA$42,$AA$48,$AA$54,$AA$60,$AA$66,$AA$72:$AA$79))*Parameters!$B$37/12</f>
        <v>20155.33929743539</v>
      </c>
      <c r="L81" s="46">
        <f>(SUM($AA$18:$AA$29)-SUM($AA$36,$AA$42,$AA$48,$AA$54,$AA$60,$AA$66,$AA$72:$AA$79))*Parameters!$B$37/12</f>
        <v>20155.33929743539</v>
      </c>
      <c r="M81" s="46">
        <f>(SUM($AA$18:$AA$29)-SUM($AA$36,$AA$42,$AA$48,$AA$54,$AA$60,$AA$66,$AA$72:$AA$79))*Parameters!$B$37/12</f>
        <v>20155.33929743539</v>
      </c>
      <c r="N81" s="46">
        <f>(SUM($AA$18:$AA$29)-SUM($AA$36,$AA$42,$AA$48,$AA$54,$AA$60,$AA$66,$AA$72:$AA$79))*Parameters!$B$37/12</f>
        <v>20155.33929743539</v>
      </c>
      <c r="O81" s="46">
        <f>(SUM($AA$18:$AA$29)-SUM($AA$36,$AA$42,$AA$48,$AA$54,$AA$60,$AA$66,$AA$72:$AA$79))*Parameters!$B$37/12</f>
        <v>20155.33929743539</v>
      </c>
      <c r="P81" s="46">
        <f>(SUM($AA$18:$AA$29)-SUM($AA$36,$AA$42,$AA$48,$AA$54,$AA$60,$AA$66,$AA$72:$AA$79))*Parameters!$B$37/12</f>
        <v>20155.33929743539</v>
      </c>
      <c r="Q81" s="46">
        <f>(SUM($AA$18:$AA$29)-SUM($AA$36,$AA$42,$AA$48,$AA$54,$AA$60,$AA$66,$AA$72:$AA$79))*Parameters!$B$37/12</f>
        <v>20155.33929743539</v>
      </c>
      <c r="R81" s="46">
        <f>(SUM($AA$18:$AA$29)-SUM($AA$36,$AA$42,$AA$48,$AA$54,$AA$60,$AA$66,$AA$72:$AA$79))*Parameters!$B$37/12</f>
        <v>20155.33929743539</v>
      </c>
      <c r="S81" s="46">
        <f>(SUM($AA$18:$AA$29)-SUM($AA$36,$AA$42,$AA$48,$AA$54,$AA$60,$AA$66,$AA$72:$AA$79))*Parameters!$B$37/12</f>
        <v>20155.33929743539</v>
      </c>
      <c r="T81" s="46">
        <f>(SUM($AA$18:$AA$29)-SUM($AA$36,$AA$42,$AA$48,$AA$54,$AA$60,$AA$66,$AA$72:$AA$79))*Parameters!$B$37/12</f>
        <v>20155.33929743539</v>
      </c>
      <c r="U81" s="46">
        <f>(SUM($AA$18:$AA$29)-SUM($AA$36,$AA$42,$AA$48,$AA$54,$AA$60,$AA$66,$AA$72:$AA$79))*Parameters!$B$37/12</f>
        <v>20155.33929743539</v>
      </c>
      <c r="V81" s="46">
        <f>(SUM($AA$18:$AA$29)-SUM($AA$36,$AA$42,$AA$48,$AA$54,$AA$60,$AA$66,$AA$72:$AA$79))*Parameters!$B$37/12</f>
        <v>20155.33929743539</v>
      </c>
      <c r="W81" s="46">
        <f>(SUM($AA$18:$AA$29)-SUM($AA$36,$AA$42,$AA$48,$AA$54,$AA$60,$AA$66,$AA$72:$AA$79))*Parameters!$B$37/12</f>
        <v>20155.33929743539</v>
      </c>
      <c r="X81" s="46">
        <f>(SUM($AA$18:$AA$29)-SUM($AA$36,$AA$42,$AA$48,$AA$54,$AA$60,$AA$66,$AA$72:$AA$79))*Parameters!$B$37/12</f>
        <v>20155.33929743539</v>
      </c>
      <c r="Y81" s="46">
        <f>(SUM($AA$18:$AA$29)-SUM($AA$36,$AA$42,$AA$48,$AA$54,$AA$60,$AA$66,$AA$72:$AA$79))*Parameters!$B$37/12</f>
        <v>20155.33929743539</v>
      </c>
      <c r="Z81" s="46">
        <f>SUMIF($B$13:$Y$13,"Yes",B81:Y81)</f>
        <v>262019.4108666601</v>
      </c>
      <c r="AA81" s="46">
        <f>SUM(B81:M81)</f>
        <v>241864.0715692247</v>
      </c>
      <c r="AB81" s="46">
        <f>SUM(B81:Y81)</f>
        <v>483728.1431384491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25010.17263076872</v>
      </c>
      <c r="C88" s="19">
        <f>SUM(C72:C82,C66,C60,C54,C48,C42,C36)</f>
        <v>25010.17263076872</v>
      </c>
      <c r="D88" s="19">
        <f>SUM(D72:D82,D66,D60,D54,D48,D42,D36)</f>
        <v>25376.17263076872</v>
      </c>
      <c r="E88" s="19">
        <f>SUM(E72:E82,E66,E60,E54,E48,E42,E36)</f>
        <v>51010.17263076872</v>
      </c>
      <c r="F88" s="19">
        <f>SUM(F72:F82,F66,F60,F54,F48,F42,F36)</f>
        <v>31593.31548791158</v>
      </c>
      <c r="G88" s="19">
        <f>SUM(G72:G82,G66,G60,G54,G48,G42,G36)</f>
        <v>32287.31548791158</v>
      </c>
      <c r="H88" s="19">
        <f>SUM(H72:H82,H66,H60,H54,H48,H42,H36)</f>
        <v>26987.31548791158</v>
      </c>
      <c r="I88" s="19">
        <f>SUM(I72:I82,I66,I60,I54,I48,I42,I36)</f>
        <v>27587.31548791158</v>
      </c>
      <c r="J88" s="19">
        <f>SUM(J72:J82,J66,J60,J54,J48,J42,J36)</f>
        <v>27353.31548791158</v>
      </c>
      <c r="K88" s="19">
        <f>SUM(K72:K82,K66,K60,K54,K48,K42,K36)</f>
        <v>52987.31548791158</v>
      </c>
      <c r="L88" s="19">
        <f>SUM(L72:L82,L66,L60,L54,L48,L42,L36)</f>
        <v>35723.79544058527</v>
      </c>
      <c r="M88" s="19">
        <f>SUM(M72:M82,M66,M60,M54,M48,M42,M36)</f>
        <v>30310.17263076872</v>
      </c>
      <c r="N88" s="19">
        <f>SUM(N72:N82,N66,N60,N54,N48,N42,N36)</f>
        <v>25010.17263076872</v>
      </c>
      <c r="O88" s="19">
        <f>SUM(O72:O82,O66,O60,O54,O48,O42,O36)</f>
        <v>25010.17263076872</v>
      </c>
      <c r="P88" s="19">
        <f>SUM(P72:P82,P66,P60,P54,P48,P42,P36)</f>
        <v>25376.17263076872</v>
      </c>
      <c r="Q88" s="19">
        <f>SUM(Q72:Q82,Q66,Q60,Q54,Q48,Q42,Q36)</f>
        <v>51010.17263076872</v>
      </c>
      <c r="R88" s="19">
        <f>SUM(R72:R82,R66,R60,R54,R48,R42,R36)</f>
        <v>31593.31548791158</v>
      </c>
      <c r="S88" s="19">
        <f>SUM(S72:S82,S66,S60,S54,S48,S42,S36)</f>
        <v>32287.31548791158</v>
      </c>
      <c r="T88" s="19">
        <f>SUM(T72:T82,T66,T60,T54,T48,T42,T36)</f>
        <v>26987.31548791158</v>
      </c>
      <c r="U88" s="19">
        <f>SUM(U72:U82,U66,U60,U54,U48,U42,U36)</f>
        <v>27587.31548791158</v>
      </c>
      <c r="V88" s="19">
        <f>SUM(V72:V82,V66,V60,V54,V48,V42,V36)</f>
        <v>27353.31548791158</v>
      </c>
      <c r="W88" s="19">
        <f>SUM(W72:W82,W66,W60,W54,W48,W42,W36)</f>
        <v>52987.31548791158</v>
      </c>
      <c r="X88" s="19">
        <f>SUM(X72:X82,X66,X60,X54,X48,X42,X36)</f>
        <v>35723.79544058527</v>
      </c>
      <c r="Y88" s="19">
        <f>SUM(Y72:Y82,Y66,Y60,Y54,Y48,Y42,Y36)</f>
        <v>30310.17263076872</v>
      </c>
      <c r="Z88" s="19">
        <f>SUMIF($B$13:$Y$13,"Yes",B88:Y88)</f>
        <v>416246.7241526671</v>
      </c>
      <c r="AA88" s="19">
        <f>SUM(B88:M88)</f>
        <v>391236.5515218984</v>
      </c>
      <c r="AB88" s="19">
        <f>SUM(B88:Y88)</f>
        <v>782473.1030437967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150000</v>
      </c>
    </row>
    <row r="95" spans="1:30">
      <c r="A95" t="s">
        <v>61</v>
      </c>
      <c r="B95" s="36">
        <f>Inputs!B47</f>
        <v>80000</v>
      </c>
    </row>
    <row r="96" spans="1:30">
      <c r="A96" t="s">
        <v>62</v>
      </c>
      <c r="B96" s="36">
        <f>SUMPRODUCT(Inputs!C19:C21,Calculations!O14:O16)</f>
        <v>400000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1000000</v>
      </c>
    </row>
    <row r="98" spans="1:30">
      <c r="A98" t="s">
        <v>64</v>
      </c>
      <c r="B98" s="36">
        <f>IF(Inputs!B44="Yes",Inputs!B45,0)</f>
        <v>500000</v>
      </c>
    </row>
    <row r="99" spans="1:30">
      <c r="A99" t="s">
        <v>65</v>
      </c>
      <c r="B99" s="36">
        <f>Inputs!B46</f>
        <v>120000</v>
      </c>
    </row>
    <row r="100" spans="1:30" customHeight="1" ht="15.75">
      <c r="A100" s="18" t="s">
        <v>66</v>
      </c>
      <c r="B100" s="37">
        <f>Inputs!B48</f>
        <v>12000</v>
      </c>
    </row>
    <row r="101" spans="1:30" customHeight="1" ht="15.75">
      <c r="A101" s="1" t="s">
        <v>67</v>
      </c>
      <c r="B101" s="19">
        <f>SUM(B94:B100)</f>
        <v>2262000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120000</v>
      </c>
    </row>
    <row r="107" spans="1:30" customHeight="1" ht="15.75">
      <c r="A107" s="1" t="s">
        <v>72</v>
      </c>
      <c r="B107" s="19">
        <f>SUM(B104:B106)</f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</v>
      </c>
      <c r="N7" s="153">
        <v>2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96</v>
      </c>
      <c r="K8" s="138"/>
      <c r="L8" s="16"/>
      <c r="M8" s="165">
        <v>10</v>
      </c>
      <c r="N8" s="154">
        <v>1</v>
      </c>
    </row>
    <row r="9" spans="1:48">
      <c r="A9" s="143" t="s">
        <v>97</v>
      </c>
      <c r="B9" s="16"/>
      <c r="C9" s="143">
        <v>0.5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98</v>
      </c>
      <c r="K9" s="138"/>
      <c r="L9" s="16"/>
      <c r="M9" s="165">
        <v>10</v>
      </c>
      <c r="N9" s="154">
        <v>1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2</v>
      </c>
      <c r="D19" s="145">
        <v>2</v>
      </c>
      <c r="E19" s="20"/>
      <c r="F19" s="145" t="s">
        <v>92</v>
      </c>
      <c r="G19" s="20"/>
      <c r="H19" s="20"/>
      <c r="I19" s="145" t="s">
        <v>113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115</v>
      </c>
      <c r="B25" s="177">
        <v>60</v>
      </c>
    </row>
    <row r="27" spans="1:48">
      <c r="A27" s="14" t="s">
        <v>116</v>
      </c>
    </row>
    <row r="29" spans="1:48">
      <c r="A29" s="45" t="s">
        <v>117</v>
      </c>
      <c r="B29" s="156" t="s">
        <v>118</v>
      </c>
    </row>
    <row r="30" spans="1:48">
      <c r="A30" s="44" t="s">
        <v>119</v>
      </c>
      <c r="B30" s="157">
        <v>0</v>
      </c>
    </row>
    <row r="31" spans="1:48">
      <c r="A31" s="5" t="s">
        <v>120</v>
      </c>
      <c r="B31" s="158">
        <v>0</v>
      </c>
    </row>
    <row r="33" spans="1:48">
      <c r="A33" s="14" t="s">
        <v>121</v>
      </c>
    </row>
    <row r="34" spans="1:48">
      <c r="A34" s="10" t="s">
        <v>122</v>
      </c>
      <c r="B34" s="10" t="s">
        <v>123</v>
      </c>
      <c r="C34" s="10" t="s">
        <v>124</v>
      </c>
      <c r="D34" s="48" t="s">
        <v>125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127</v>
      </c>
      <c r="B40" s="160" t="s">
        <v>92</v>
      </c>
    </row>
    <row r="41" spans="1:48">
      <c r="A41" s="55" t="s">
        <v>128</v>
      </c>
      <c r="B41" s="140"/>
    </row>
    <row r="42" spans="1:48">
      <c r="A42" s="55" t="s">
        <v>129</v>
      </c>
      <c r="B42" s="139"/>
    </row>
    <row r="43" spans="1:48">
      <c r="A43" s="55" t="s">
        <v>130</v>
      </c>
      <c r="B43" s="160" t="s">
        <v>131</v>
      </c>
    </row>
    <row r="44" spans="1:48">
      <c r="A44" s="56" t="s">
        <v>132</v>
      </c>
      <c r="B44" s="160" t="s">
        <v>92</v>
      </c>
    </row>
    <row r="45" spans="1:48">
      <c r="A45" s="56" t="s">
        <v>133</v>
      </c>
      <c r="B45" s="161">
        <v>500000</v>
      </c>
    </row>
    <row r="46" spans="1:48" customHeight="1" ht="30">
      <c r="A46" s="57" t="s">
        <v>134</v>
      </c>
      <c r="B46" s="161">
        <v>120000</v>
      </c>
    </row>
    <row r="47" spans="1:48" customHeight="1" ht="30">
      <c r="A47" s="57" t="s">
        <v>135</v>
      </c>
      <c r="B47" s="161">
        <v>80000</v>
      </c>
    </row>
    <row r="48" spans="1:48" customHeight="1" ht="30">
      <c r="A48" s="57" t="s">
        <v>136</v>
      </c>
      <c r="B48" s="161">
        <v>12000</v>
      </c>
    </row>
    <row r="49" spans="1:48" customHeight="1" ht="30">
      <c r="A49" s="57" t="s">
        <v>137</v>
      </c>
      <c r="B49" s="161">
        <v>150000</v>
      </c>
    </row>
    <row r="50" spans="1:48">
      <c r="A50" s="43"/>
      <c r="B50" s="36"/>
    </row>
    <row r="51" spans="1:48">
      <c r="A51" s="58" t="s">
        <v>138</v>
      </c>
      <c r="B51" s="161">
        <v>30000</v>
      </c>
    </row>
    <row r="52" spans="1:48">
      <c r="A52" s="43"/>
    </row>
    <row r="53" spans="1:48">
      <c r="A53" s="3" t="s">
        <v>139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140</v>
      </c>
      <c r="B55" s="10" t="s">
        <v>141</v>
      </c>
      <c r="C55" s="10" t="s">
        <v>142</v>
      </c>
      <c r="D55" s="10" t="s">
        <v>143</v>
      </c>
      <c r="E55" s="10" t="s">
        <v>144</v>
      </c>
      <c r="F55" s="10" t="s">
        <v>145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125</v>
      </c>
      <c r="B65" s="10" t="s">
        <v>147</v>
      </c>
      <c r="C65" s="10" t="s">
        <v>148</v>
      </c>
    </row>
    <row r="66" spans="1:48">
      <c r="A66" s="142"/>
      <c r="B66" s="159"/>
      <c r="C66" s="163"/>
      <c r="D66" s="49">
        <f>INDEX(Parameters!$D$79:$D$90,MATCH(Inputs!A66,Parameters!$C$79:$C$90,0))</f>
        <v>12</v>
      </c>
    </row>
    <row r="67" spans="1:48">
      <c r="A67" s="143"/>
      <c r="B67" s="157"/>
      <c r="C67" s="165"/>
      <c r="D67" s="49">
        <f>INDEX(Parameters!$D$79:$D$90,MATCH(Inputs!A67,Parameters!$C$79:$C$90,0))</f>
        <v>12</v>
      </c>
    </row>
    <row r="68" spans="1:48">
      <c r="A68" s="143"/>
      <c r="B68" s="157"/>
      <c r="C68" s="165"/>
      <c r="D68" s="49">
        <f>INDEX(Parameters!$D$79:$D$90,MATCH(Inputs!A68,Parameters!$C$79:$C$90,0))</f>
        <v>12</v>
      </c>
    </row>
    <row r="69" spans="1:48">
      <c r="A69" s="143"/>
      <c r="B69" s="157"/>
      <c r="C69" s="165"/>
      <c r="D69" s="49">
        <f>INDEX(Parameters!$D$79:$D$90,MATCH(Inputs!A69,Parameters!$C$79:$C$90,0))</f>
        <v>12</v>
      </c>
    </row>
    <row r="70" spans="1:48">
      <c r="A70" s="143"/>
      <c r="B70" s="157"/>
      <c r="C70" s="165"/>
      <c r="D70" s="49">
        <f>INDEX(Parameters!$D$79:$D$90,MATCH(Inputs!A70,Parameters!$C$79:$C$90,0))</f>
        <v>12</v>
      </c>
    </row>
    <row r="71" spans="1:48">
      <c r="A71" s="144"/>
      <c r="B71" s="158"/>
      <c r="C71" s="167"/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19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120000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42979</v>
      </c>
      <c r="AD3" s="59">
        <f>Output!C5</f>
        <v>43009</v>
      </c>
      <c r="AE3" s="59">
        <f>Output!D5</f>
        <v>43040</v>
      </c>
      <c r="AF3" s="59">
        <f>Output!E5</f>
        <v>43070</v>
      </c>
      <c r="AG3" s="59">
        <f>Output!F5</f>
        <v>43101</v>
      </c>
      <c r="AH3" s="59">
        <f>Output!G5</f>
        <v>43132</v>
      </c>
      <c r="AI3" s="59">
        <f>Output!H5</f>
        <v>43160</v>
      </c>
      <c r="AJ3" s="59">
        <f>Output!I5</f>
        <v>43191</v>
      </c>
      <c r="AK3" s="59">
        <f>Output!J5</f>
        <v>43221</v>
      </c>
      <c r="AL3" s="59">
        <f>Output!K5</f>
        <v>43252</v>
      </c>
      <c r="AM3" s="59">
        <f>Output!L5</f>
        <v>43282</v>
      </c>
      <c r="AN3" s="59">
        <f>Output!M5</f>
        <v>43313</v>
      </c>
      <c r="AO3" s="59">
        <f>Output!N5</f>
        <v>43344</v>
      </c>
      <c r="AP3" s="59">
        <f>Output!O5</f>
        <v>43374</v>
      </c>
      <c r="AQ3" s="59">
        <f>Output!P5</f>
        <v>43405</v>
      </c>
      <c r="AR3" s="59">
        <f>Output!Q5</f>
        <v>43435</v>
      </c>
      <c r="AS3" s="59">
        <f>Output!R5</f>
        <v>43466</v>
      </c>
      <c r="AT3" s="59">
        <f>Output!S5</f>
        <v>43497</v>
      </c>
      <c r="AU3" s="59">
        <f>Output!T5</f>
        <v>43525</v>
      </c>
      <c r="AV3" s="59">
        <f>Output!U5</f>
        <v>43556</v>
      </c>
      <c r="AW3" s="59">
        <f>Output!V5</f>
        <v>43586</v>
      </c>
      <c r="AX3" s="59">
        <f>Output!W5</f>
        <v>43617</v>
      </c>
      <c r="AY3" s="59">
        <f>Output!X5</f>
        <v>43647</v>
      </c>
      <c r="AZ3" s="59">
        <f>Output!Y5</f>
        <v>43678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43191</v>
      </c>
      <c r="D4" s="38">
        <f>IFERROR(DATE(YEAR(B4),MONTH(B4)+T4,DAY(B4)),"")</f>
        <v>43282</v>
      </c>
      <c r="E4" s="38">
        <f>IFERROR(IF($S4=0,"",IF($S4=2,DATE(YEAR(B4),MONTH(B4)+6,DAY(B4)),IF($S4=1,B4,""))),"")</f>
        <v>43101</v>
      </c>
      <c r="F4" s="38">
        <f>IFERROR(IF($S4=0,"",IF($S4=2,DATE(YEAR(C4),MONTH(C4)+6,DAY(C4)),IF($S4=1,C4,""))),"")</f>
        <v>43191</v>
      </c>
      <c r="G4" s="38">
        <f>IFERROR(IF($S4=0,"",IF($S4=2,DATE(YEAR(D4),MONTH(D4)+6,DAY(D4)),IF($S4=1,D4,""))),"")</f>
        <v>43282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1899.234772320367</v>
      </c>
      <c r="M4" s="25">
        <f>L4*H4</f>
        <v>1899.234772320367</v>
      </c>
      <c r="N4" s="22">
        <f>Calculations!U4</f>
        <v>0.1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35895.53719685494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1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6</v>
      </c>
      <c r="U4" s="60">
        <f>Inputs!M7/100</f>
        <v>0.1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303.0000000000001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300</v>
      </c>
      <c r="Z4" s="33">
        <f>IF(Inputs!I7=Parameters!$F$78,H4*INDEX(Parameters!$A$3:$AI$18,MATCH(Calculations!A4,Parameters!$A$3:$A$18,0),MATCH(Parameters!$Q$3,Parameters!$A$3:$AI$3,0)),0)</f>
        <v>5000</v>
      </c>
      <c r="AA4" s="33">
        <f>IFERROR(IF(Inputs!N7&gt;0,INDEX(Parameters!$A$3:$AI$17,MATCH(Calculations!A4,Parameters!$A$3:$A$17,0),MATCH(Parameters!$R$3,Parameters!$A$3:$AI$3,0)),0)*M4/S4,0)</f>
        <v>4368.239976336844</v>
      </c>
      <c r="AB4" s="33">
        <f>H4*IFERROR(INDEX(Parameters!$A$3:$AI$17,MATCH(Calculations!A4,Parameters!$A$3:$A$17,0),MATCH(Parameters!$O$3,Parameters!$A$3:$AI$3,0)),AVERAGE(Parameters!$O$4:$O$17))*(1-Inputs!$B$25/100)</f>
        <v>4800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Potatoes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43070</v>
      </c>
      <c r="C5" s="39">
        <f>IFERROR(DATE(YEAR(B5),MONTH(B5)+ROUND(T5/2,0),DAY(B5)),B5)</f>
        <v>43132</v>
      </c>
      <c r="D5" s="39">
        <f>IFERROR(DATE(YEAR(B5),MONTH(B5)+T5,DAY(B5)),"")</f>
        <v>43191</v>
      </c>
      <c r="E5" s="39">
        <f>IFERROR(IF($S5=0,"",IF($S5=2,DATE(YEAR(B5),MONTH(B5)+6,DAY(B5)),IF($S5=1,B5,""))),"")</f>
        <v>43252</v>
      </c>
      <c r="F5" s="39">
        <f>IFERROR(IF($S5=0,"",IF($S5=2,DATE(YEAR(C5),MONTH(C5)+6,DAY(C5)),IF($S5=1,C5,""))),"")</f>
        <v>43313</v>
      </c>
      <c r="G5" s="39">
        <f>IFERROR(IF($S5=0,"",IF($S5=2,DATE(YEAR(D5),MONTH(D5)+6,DAY(D5)),IF($S5=1,D5,""))),"")</f>
        <v>43374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200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8558.01473327987</v>
      </c>
      <c r="M5" s="30">
        <f>L5*H5</f>
        <v>8558.01473327987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11.2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172529.5770229222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24000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4300</v>
      </c>
      <c r="Z5" s="34">
        <f>IF(Inputs!I8=Parameters!$F$78,H5*INDEX(Parameters!$A$3:$AI$18,MATCH(Calculations!A5,Parameters!$A$3:$A$18,0),MATCH(Parameters!$Q$3,Parameters!$A$3:$AI$3,0)),0)</f>
        <v>5000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4800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Onions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43040</v>
      </c>
      <c r="C6" s="39">
        <f>IFERROR(DATE(YEAR(B6),MONTH(B6)+ROUND(T6/2,0),DAY(B6)),B6)</f>
        <v>43132</v>
      </c>
      <c r="D6" s="39">
        <f>IFERROR(DATE(YEAR(B6),MONTH(B6)+T6,DAY(B6)),"")</f>
        <v>43191</v>
      </c>
      <c r="E6" s="39">
        <f>IFERROR(IF($S6=0,"",IF($S6=2,DATE(YEAR(B6),MONTH(B6)+6,DAY(B6)),IF($S6=1,B6,""))),"")</f>
        <v>43221</v>
      </c>
      <c r="F6" s="39">
        <f>IFERROR(IF($S6=0,"",IF($S6=2,DATE(YEAR(C6),MONTH(C6)+6,DAY(C6)),IF($S6=1,C6,""))),"")</f>
        <v>43313</v>
      </c>
      <c r="G6" s="39">
        <f>IFERROR(IF($S6=0,"",IF($S6=2,DATE(YEAR(D6),MONTH(D6)+6,DAY(D6)),IF($S6=1,D6,""))),"")</f>
        <v>43374</v>
      </c>
      <c r="H6" s="16">
        <f>Inputs!C9</f>
        <v>0.5</v>
      </c>
      <c r="I6" s="138" t="str">
        <f>IFERROR(VLOOKUP(Inputs!E9,Parameters!$J$77:$K$81,2,0),"")</f>
        <v>Yes</v>
      </c>
      <c r="J6" s="27">
        <f>IFERROR(Inputs!G9/Calculations!H6,"")</f>
        <v>0</v>
      </c>
      <c r="K6" s="27">
        <f>IFERROR(INDEX(Parameters!$A$3:$V$17,MATCH(Calculations!$A6,Parameters!$A$3:$A$17,0),MATCH(Parameters!$I$3,Parameters!$A$3:$V$3,0)),0)</f>
        <v>100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3479.15654460647</v>
      </c>
      <c r="M6" s="30">
        <f>L6*H6</f>
        <v>1739.578272303235</v>
      </c>
      <c r="N6" s="22">
        <f>Calculations!U6</f>
        <v>0.1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56</v>
      </c>
      <c r="P6" s="22">
        <f>IFERROR(INDEX(Parameters!$A$3:$V$17,MATCH(Calculations!$A6,Parameters!$A$3:$A$17,0),MATCH($P$3,Parameters!$A$3:$V$3,0)),0)</f>
        <v>0</v>
      </c>
      <c r="Q6" s="34">
        <f>IFERROR(M6*O6*(1-N6)*MAX(S6,1),0)</f>
        <v>175349.4898481661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5</v>
      </c>
      <c r="U6" s="22">
        <f>Inputs!M9/100</f>
        <v>0.1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750</v>
      </c>
      <c r="W6" s="34">
        <f>IFERROR(J6*H6*Parameters!$B$35+IF(OR(Inputs!F9=Parameters!$E$78,Inputs!F9=Parameters!$E$80),Calculations!H6*Parameters!$B$36,0),0)</f>
        <v>1000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1000</v>
      </c>
      <c r="Z6" s="34">
        <f>IF(Inputs!I9=Parameters!$F$78,H6*INDEX(Parameters!$A$3:$AI$18,MATCH(Calculations!A6,Parameters!$A$3:$A$18,0),MATCH(Parameters!$Q$3,Parameters!$A$3:$AI$3,0)),0)</f>
        <v>3500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3000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9</v>
      </c>
      <c r="AD7" s="22">
        <f>IF($A7=0,1/12,IFERROR(INDEX(Parameters!$X$2:$AI$17,MATCH(Calculations!$A7,Parameters!$A$2:$A$17,0),MONTH(Calculations!AD$3)),1/12))</f>
        <v>10</v>
      </c>
      <c r="AE7" s="22">
        <f>IF($A7=0,1/12,IFERROR(INDEX(Parameters!$X$2:$AI$17,MATCH(Calculations!$A7,Parameters!$A$2:$A$17,0),MONTH(Calculations!AE$3)),1/12))</f>
        <v>11</v>
      </c>
      <c r="AF7" s="22">
        <f>IF($A7=0,1/12,IFERROR(INDEX(Parameters!$X$2:$AI$17,MATCH(Calculations!$A7,Parameters!$A$2:$A$17,0),MONTH(Calculations!AF$3)),1/12))</f>
        <v>12</v>
      </c>
      <c r="AG7" s="22">
        <f>IF($A7=0,1/12,IFERROR(INDEX(Parameters!$X$2:$AI$17,MATCH(Calculations!$A7,Parameters!$A$2:$A$17,0),MONTH(Calculations!AG$3)),1/12))</f>
        <v>1</v>
      </c>
      <c r="AH7" s="22">
        <f>IF($A7=0,1/12,IFERROR(INDEX(Parameters!$X$2:$AI$17,MATCH(Calculations!$A7,Parameters!$A$2:$A$17,0),MONTH(Calculations!AH$3)),1/12))</f>
        <v>2</v>
      </c>
      <c r="AI7" s="22">
        <f>IF($A7=0,1/12,IFERROR(INDEX(Parameters!$X$2:$AI$17,MATCH(Calculations!$A7,Parameters!$A$2:$A$17,0),MONTH(Calculations!AI$3)),1/12))</f>
        <v>3</v>
      </c>
      <c r="AJ7" s="22">
        <f>IF($A7=0,1/12,IFERROR(INDEX(Parameters!$X$2:$AI$17,MATCH(Calculations!$A7,Parameters!$A$2:$A$17,0),MONTH(Calculations!AJ$3)),1/12))</f>
        <v>4</v>
      </c>
      <c r="AK7" s="22">
        <f>IF($A7=0,1/12,IFERROR(INDEX(Parameters!$X$2:$AI$17,MATCH(Calculations!$A7,Parameters!$A$2:$A$17,0),MONTH(Calculations!AK$3)),1/12))</f>
        <v>5</v>
      </c>
      <c r="AL7" s="22">
        <f>IF($A7=0,1/12,IFERROR(INDEX(Parameters!$X$2:$AI$17,MATCH(Calculations!$A7,Parameters!$A$2:$A$17,0),MONTH(Calculations!AL$3)),1/12))</f>
        <v>6</v>
      </c>
      <c r="AM7" s="22">
        <f>IF($A7=0,1/12,IFERROR(INDEX(Parameters!$X$2:$AI$17,MATCH(Calculations!$A7,Parameters!$A$2:$A$17,0),MONTH(Calculations!AM$3)),1/12))</f>
        <v>7</v>
      </c>
      <c r="AN7" s="22">
        <f>IF($A7=0,1/12,IFERROR(INDEX(Parameters!$X$2:$AI$17,MATCH(Calculations!$A7,Parameters!$A$2:$A$17,0),MONTH(Calculations!AN$3)),1/12))</f>
        <v>8</v>
      </c>
      <c r="AO7" s="22">
        <f>IF($A7=0,1/12,IFERROR(INDEX(Parameters!$X$2:$AI$17,MATCH(Calculations!$A7,Parameters!$A$2:$A$17,0),MONTH(Calculations!AO$3)),1/12))</f>
        <v>9</v>
      </c>
      <c r="AP7" s="22">
        <f>IF($A7=0,1/12,IFERROR(INDEX(Parameters!$X$2:$AI$17,MATCH(Calculations!$A7,Parameters!$A$2:$A$17,0),MONTH(Calculations!AP$3)),1/12))</f>
        <v>10</v>
      </c>
      <c r="AQ7" s="22">
        <f>IF($A7=0,1/12,IFERROR(INDEX(Parameters!$X$2:$AI$17,MATCH(Calculations!$A7,Parameters!$A$2:$A$17,0),MONTH(Calculations!AQ$3)),1/12))</f>
        <v>11</v>
      </c>
      <c r="AR7" s="22">
        <f>IF($A7=0,1/12,IFERROR(INDEX(Parameters!$X$2:$AI$17,MATCH(Calculations!$A7,Parameters!$A$2:$A$17,0),MONTH(Calculations!AR$3)),1/12))</f>
        <v>12</v>
      </c>
      <c r="AS7" s="22">
        <f>IF($A7=0,1/12,IFERROR(INDEX(Parameters!$X$2:$AI$17,MATCH(Calculations!$A7,Parameters!$A$2:$A$17,0),MONTH(Calculations!AS$3)),1/12))</f>
        <v>1</v>
      </c>
      <c r="AT7" s="22">
        <f>IF($A7=0,1/12,IFERROR(INDEX(Parameters!$X$2:$AI$17,MATCH(Calculations!$A7,Parameters!$A$2:$A$17,0),MONTH(Calculations!AT$3)),1/12))</f>
        <v>2</v>
      </c>
      <c r="AU7" s="22">
        <f>IF($A7=0,1/12,IFERROR(INDEX(Parameters!$X$2:$AI$17,MATCH(Calculations!$A7,Parameters!$A$2:$A$17,0),MONTH(Calculations!AU$3)),1/12))</f>
        <v>3</v>
      </c>
      <c r="AV7" s="22">
        <f>IF($A7=0,1/12,IFERROR(INDEX(Parameters!$X$2:$AI$17,MATCH(Calculations!$A7,Parameters!$A$2:$A$17,0),MONTH(Calculations!AV$3)),1/12))</f>
        <v>4</v>
      </c>
      <c r="AW7" s="22">
        <f>IF($A7=0,1/12,IFERROR(INDEX(Parameters!$X$2:$AI$17,MATCH(Calculations!$A7,Parameters!$A$2:$A$17,0),MONTH(Calculations!AW$3)),1/12))</f>
        <v>5</v>
      </c>
      <c r="AX7" s="22">
        <f>IF($A7=0,1/12,IFERROR(INDEX(Parameters!$X$2:$AI$17,MATCH(Calculations!$A7,Parameters!$A$2:$A$17,0),MONTH(Calculations!AX$3)),1/12))</f>
        <v>6</v>
      </c>
      <c r="AY7" s="22">
        <f>IF($A7=0,1/12,IFERROR(INDEX(Parameters!$X$2:$AI$17,MATCH(Calculations!$A7,Parameters!$A$2:$A$17,0),MONTH(Calculations!AY$3)),1/12))</f>
        <v>7</v>
      </c>
      <c r="AZ7" s="22">
        <f>IF($A7=0,1/12,IFERROR(INDEX(Parameters!$X$2:$AI$17,MATCH(Calculations!$A7,Parameters!$A$2:$A$17,0),MONTH(Calculations!AZ$3)),1/12))</f>
        <v>8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9</v>
      </c>
      <c r="AD8" s="24">
        <f>IF($A8=0,1/12,IFERROR(INDEX(Parameters!$X$2:$AI$17,MATCH(Calculations!$A8,Parameters!$A$2:$A$17,0),MONTH(Calculations!AD$3)),1/12))</f>
        <v>10</v>
      </c>
      <c r="AE8" s="24">
        <f>IF($A8=0,1/12,IFERROR(INDEX(Parameters!$X$2:$AI$17,MATCH(Calculations!$A8,Parameters!$A$2:$A$17,0),MONTH(Calculations!AE$3)),1/12))</f>
        <v>11</v>
      </c>
      <c r="AF8" s="24">
        <f>IF($A8=0,1/12,IFERROR(INDEX(Parameters!$X$2:$AI$17,MATCH(Calculations!$A8,Parameters!$A$2:$A$17,0),MONTH(Calculations!AF$3)),1/12))</f>
        <v>12</v>
      </c>
      <c r="AG8" s="24">
        <f>IF($A8=0,1/12,IFERROR(INDEX(Parameters!$X$2:$AI$17,MATCH(Calculations!$A8,Parameters!$A$2:$A$17,0),MONTH(Calculations!AG$3)),1/12))</f>
        <v>1</v>
      </c>
      <c r="AH8" s="24">
        <f>IF($A8=0,1/12,IFERROR(INDEX(Parameters!$X$2:$AI$17,MATCH(Calculations!$A8,Parameters!$A$2:$A$17,0),MONTH(Calculations!AH$3)),1/12))</f>
        <v>2</v>
      </c>
      <c r="AI8" s="24">
        <f>IF($A8=0,1/12,IFERROR(INDEX(Parameters!$X$2:$AI$17,MATCH(Calculations!$A8,Parameters!$A$2:$A$17,0),MONTH(Calculations!AI$3)),1/12))</f>
        <v>3</v>
      </c>
      <c r="AJ8" s="24">
        <f>IF($A8=0,1/12,IFERROR(INDEX(Parameters!$X$2:$AI$17,MATCH(Calculations!$A8,Parameters!$A$2:$A$17,0),MONTH(Calculations!AJ$3)),1/12))</f>
        <v>4</v>
      </c>
      <c r="AK8" s="24">
        <f>IF($A8=0,1/12,IFERROR(INDEX(Parameters!$X$2:$AI$17,MATCH(Calculations!$A8,Parameters!$A$2:$A$17,0),MONTH(Calculations!AK$3)),1/12))</f>
        <v>5</v>
      </c>
      <c r="AL8" s="24">
        <f>IF($A8=0,1/12,IFERROR(INDEX(Parameters!$X$2:$AI$17,MATCH(Calculations!$A8,Parameters!$A$2:$A$17,0),MONTH(Calculations!AL$3)),1/12))</f>
        <v>6</v>
      </c>
      <c r="AM8" s="24">
        <f>IF($A8=0,1/12,IFERROR(INDEX(Parameters!$X$2:$AI$17,MATCH(Calculations!$A8,Parameters!$A$2:$A$17,0),MONTH(Calculations!AM$3)),1/12))</f>
        <v>7</v>
      </c>
      <c r="AN8" s="24">
        <f>IF($A8=0,1/12,IFERROR(INDEX(Parameters!$X$2:$AI$17,MATCH(Calculations!$A8,Parameters!$A$2:$A$17,0),MONTH(Calculations!AN$3)),1/12))</f>
        <v>8</v>
      </c>
      <c r="AO8" s="24">
        <f>IF($A8=0,1/12,IFERROR(INDEX(Parameters!$X$2:$AI$17,MATCH(Calculations!$A8,Parameters!$A$2:$A$17,0),MONTH(Calculations!AO$3)),1/12))</f>
        <v>9</v>
      </c>
      <c r="AP8" s="24">
        <f>IF($A8=0,1/12,IFERROR(INDEX(Parameters!$X$2:$AI$17,MATCH(Calculations!$A8,Parameters!$A$2:$A$17,0),MONTH(Calculations!AP$3)),1/12))</f>
        <v>10</v>
      </c>
      <c r="AQ8" s="24">
        <f>IF($A8=0,1/12,IFERROR(INDEX(Parameters!$X$2:$AI$17,MATCH(Calculations!$A8,Parameters!$A$2:$A$17,0),MONTH(Calculations!AQ$3)),1/12))</f>
        <v>11</v>
      </c>
      <c r="AR8" s="24">
        <f>IF($A8=0,1/12,IFERROR(INDEX(Parameters!$X$2:$AI$17,MATCH(Calculations!$A8,Parameters!$A$2:$A$17,0),MONTH(Calculations!AR$3)),1/12))</f>
        <v>12</v>
      </c>
      <c r="AS8" s="24">
        <f>IF($A8=0,1/12,IFERROR(INDEX(Parameters!$X$2:$AI$17,MATCH(Calculations!$A8,Parameters!$A$2:$A$17,0),MONTH(Calculations!AS$3)),1/12))</f>
        <v>1</v>
      </c>
      <c r="AT8" s="24">
        <f>IF($A8=0,1/12,IFERROR(INDEX(Parameters!$X$2:$AI$17,MATCH(Calculations!$A8,Parameters!$A$2:$A$17,0),MONTH(Calculations!AT$3)),1/12))</f>
        <v>2</v>
      </c>
      <c r="AU8" s="24">
        <f>IF($A8=0,1/12,IFERROR(INDEX(Parameters!$X$2:$AI$17,MATCH(Calculations!$A8,Parameters!$A$2:$A$17,0),MONTH(Calculations!AU$3)),1/12))</f>
        <v>3</v>
      </c>
      <c r="AV8" s="24">
        <f>IF($A8=0,1/12,IFERROR(INDEX(Parameters!$X$2:$AI$17,MATCH(Calculations!$A8,Parameters!$A$2:$A$17,0),MONTH(Calculations!AV$3)),1/12))</f>
        <v>4</v>
      </c>
      <c r="AW8" s="24">
        <f>IF($A8=0,1/12,IFERROR(INDEX(Parameters!$X$2:$AI$17,MATCH(Calculations!$A8,Parameters!$A$2:$A$17,0),MONTH(Calculations!AW$3)),1/12))</f>
        <v>5</v>
      </c>
      <c r="AX8" s="24">
        <f>IF($A8=0,1/12,IFERROR(INDEX(Parameters!$X$2:$AI$17,MATCH(Calculations!$A8,Parameters!$A$2:$A$17,0),MONTH(Calculations!AX$3)),1/12))</f>
        <v>6</v>
      </c>
      <c r="AY8" s="24">
        <f>IF($A8=0,1/12,IFERROR(INDEX(Parameters!$X$2:$AI$17,MATCH(Calculations!$A8,Parameters!$A$2:$A$17,0),MONTH(Calculations!AY$3)),1/12))</f>
        <v>7</v>
      </c>
      <c r="AZ8" s="24">
        <f>IF($A8=0,1/12,IFERROR(INDEX(Parameters!$X$2:$AI$17,MATCH(Calculations!$A8,Parameters!$A$2:$A$17,0),MONTH(Calculations!AZ$3)),1/12))</f>
        <v>8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2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363078.9473684211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18250</v>
      </c>
      <c r="R14" s="63">
        <f>IFERROR(D14*INDEX(Parameters!$A$22:$P$29,MATCH(Calculations!$A14,Parameters!$A$22:$A$29,0),MATCH(Parameters!$M$22,Parameters!$A$22:$P$22,0)),"")</f>
        <v>2000</v>
      </c>
      <c r="S14" s="63">
        <f>IFERROR(D14*INDEX(Parameters!$A$22:$P$29,MATCH(Calculations!$A14,Parameters!$A$22:$A$29,0),MATCH(Parameters!$N$22,Parameters!$A$22:$P$22,0)),"")</f>
        <v>12000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140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Molo</v>
      </c>
    </row>
    <row r="33" spans="1:52">
      <c r="A33">
        <v>1</v>
      </c>
      <c r="B33" s="128">
        <f>G34</f>
        <v>43020</v>
      </c>
      <c r="C33" s="27">
        <f>IF(B33&lt;&gt;"",IF(COUNT($A$33:A33)&lt;=$G$39,0,$G$41)+IF(COUNT($A$33:A33)&lt;=$G$40,0,$G$42),0)</f>
        <v>12000</v>
      </c>
      <c r="D33" s="170">
        <f>IFERROR(DATE(YEAR(B33),MONTH(B33),1)," ")</f>
        <v>43009</v>
      </c>
      <c r="F33" t="s">
        <v>154</v>
      </c>
      <c r="G33" s="128">
        <f>IF(Inputs!B79="","",DATE(YEAR(Inputs!B79),MONTH(Inputs!B79),DAY(Inputs!B79)))</f>
        <v>42990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43051</v>
      </c>
      <c r="C34" s="27">
        <f>IF(B34&lt;&gt;"",IF(COUNT($A$33:A34)&lt;=$G$39,0,$G$41)+IF(COUNT($A$33:A34)&lt;=$G$40,0,$G$42),0)</f>
        <v>12000</v>
      </c>
      <c r="D34" s="170">
        <f>IFERROR(DATE(YEAR(B34),MONTH(B34),1)," ")</f>
        <v>43040</v>
      </c>
      <c r="F34" t="s">
        <v>155</v>
      </c>
      <c r="G34" s="128">
        <f>IF(Inputs!B80="","",DATE(YEAR(Inputs!B80),MONTH(Inputs!B80),DAY(Inputs!B80)))</f>
        <v>43020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43081</v>
      </c>
      <c r="C35" s="27">
        <f>IF(B35&lt;&gt;"",IF(COUNT($A$33:A35)&lt;=$G$39,0,$G$41)+IF(COUNT($A$33:A35)&lt;=$G$40,0,$G$42),0)</f>
        <v>12000</v>
      </c>
      <c r="D35" s="170">
        <f>IFERROR(DATE(YEAR(B35),MONTH(B35),1)," ")</f>
        <v>43070</v>
      </c>
      <c r="F35" t="s">
        <v>157</v>
      </c>
      <c r="G35" s="27">
        <f>Inputs!B81</f>
        <v>120000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43112</v>
      </c>
      <c r="C36" s="27">
        <f>IF(B36&lt;&gt;"",IF(COUNT($A$33:A36)&lt;=$G$39,0,$G$41)+IF(COUNT($A$33:A36)&lt;=$G$40,0,$G$42),0)</f>
        <v>12000</v>
      </c>
      <c r="D36" s="170">
        <f>IFERROR(DATE(YEAR(B36),MONTH(B36),1)," ")</f>
        <v>43101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43143</v>
      </c>
      <c r="C37" s="27">
        <f>IF(B37&lt;&gt;"",IF(COUNT($A$33:A37)&lt;=$G$39,0,$G$41)+IF(COUNT($A$33:A37)&lt;=$G$40,0,$G$42),0)</f>
        <v>12000</v>
      </c>
      <c r="D37" s="170">
        <f>IFERROR(DATE(YEAR(B37),MONTH(B37),1)," ")</f>
        <v>43132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43171</v>
      </c>
      <c r="C38" s="27">
        <f>IF(B38&lt;&gt;"",IF(COUNT($A$33:A38)&lt;=$G$39,0,$G$41)+IF(COUNT($A$33:A38)&lt;=$G$40,0,$G$42),0)</f>
        <v>12000</v>
      </c>
      <c r="D38" s="170">
        <f>IFERROR(DATE(YEAR(B38),MONTH(B38),1)," ")</f>
        <v>43160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43202</v>
      </c>
      <c r="C39" s="27">
        <f>IF(B39&lt;&gt;"",IF(COUNT($A$33:A39)&lt;=$G$39,0,$G$41)+IF(COUNT($A$33:A39)&lt;=$G$40,0,$G$42),0)</f>
        <v>12000</v>
      </c>
      <c r="D39" s="170">
        <f>IFERROR(DATE(YEAR(B39),MONTH(B39),1)," ")</f>
        <v>43191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43232</v>
      </c>
      <c r="C40" s="27">
        <f>IF(B40&lt;&gt;"",IF(COUNT($A$33:A40)&lt;=$G$39,0,$G$41)+IF(COUNT($A$33:A40)&lt;=$G$40,0,$G$42),0)</f>
        <v>12000</v>
      </c>
      <c r="D40" s="170">
        <f>IFERROR(DATE(YEAR(B40),MONTH(B40),1)," ")</f>
        <v>43221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43263</v>
      </c>
      <c r="C41" s="27">
        <f>IF(B41&lt;&gt;"",IF(COUNT($A$33:A41)&lt;=$G$39,0,$G$41)+IF(COUNT($A$33:A41)&lt;=$G$40,0,$G$42),0)</f>
        <v>12000</v>
      </c>
      <c r="D41" s="170">
        <f>IFERROR(DATE(YEAR(B41),MONTH(B41),1)," ")</f>
        <v>43252</v>
      </c>
      <c r="F41" t="s">
        <v>221</v>
      </c>
      <c r="G41" s="73">
        <f>IFERROR(G35/(G38-G39),"")</f>
        <v>10000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43293</v>
      </c>
      <c r="C42" s="27">
        <f>IF(B42&lt;&gt;"",IF(COUNT($A$33:A42)&lt;=$G$39,0,$G$41)+IF(COUNT($A$33:A42)&lt;=$G$40,0,$G$42),0)</f>
        <v>12000</v>
      </c>
      <c r="D42" s="170">
        <f>IFERROR(DATE(YEAR(B42),MONTH(B42),1)," ")</f>
        <v>43282</v>
      </c>
      <c r="F42" t="s">
        <v>222</v>
      </c>
      <c r="G42" s="73">
        <f>IFERROR(G35*G36*IF(G37="Monthly",G38/12,IF(G37="Fortnightly",G38/(365/14),G38/(365/28)))/(G38-G40),"")</f>
        <v>2000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43324</v>
      </c>
      <c r="C43" s="27">
        <f>IF(B43&lt;&gt;"",IF(COUNT($A$33:A43)&lt;=$G$39,0,$G$41)+IF(COUNT($A$33:A43)&lt;=$G$40,0,$G$42),0)</f>
        <v>12000</v>
      </c>
      <c r="D43" s="170">
        <f>IFERROR(DATE(YEAR(B43),MONTH(B43),1)," ")</f>
        <v>43313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43355</v>
      </c>
      <c r="C44" s="27">
        <f>IF(B44&lt;&gt;"",IF(COUNT($A$33:A44)&lt;=$G$39,0,$G$41)+IF(COUNT($A$33:A44)&lt;=$G$40,0,$G$42),0)</f>
        <v>12000</v>
      </c>
      <c r="D44" s="170">
        <f>IFERROR(DATE(YEAR(B44),MONTH(B44),1)," ")</f>
        <v>43344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97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95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266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267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268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269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270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271</v>
      </c>
      <c r="C22" s="10" t="s">
        <v>272</v>
      </c>
      <c r="D22" s="10" t="s">
        <v>273</v>
      </c>
      <c r="E22" s="10" t="s">
        <v>274</v>
      </c>
      <c r="F22" s="10" t="s">
        <v>275</v>
      </c>
      <c r="G22" s="10" t="s">
        <v>276</v>
      </c>
      <c r="H22" s="10" t="s">
        <v>277</v>
      </c>
      <c r="I22" s="10" t="s">
        <v>195</v>
      </c>
      <c r="J22" s="10" t="s">
        <v>278</v>
      </c>
      <c r="K22" s="10" t="s">
        <v>279</v>
      </c>
      <c r="L22" s="10" t="s">
        <v>280</v>
      </c>
      <c r="M22" s="10" t="s">
        <v>281</v>
      </c>
      <c r="N22" s="10" t="s">
        <v>282</v>
      </c>
      <c r="O22" s="10" t="s">
        <v>283</v>
      </c>
      <c r="P22" s="10" t="s">
        <v>284</v>
      </c>
    </row>
    <row r="23" spans="1:36" s="21" customFormat="1">
      <c r="A23" s="21" t="s">
        <v>285</v>
      </c>
      <c r="B23" s="21" t="s">
        <v>286</v>
      </c>
      <c r="C23" s="72" t="s">
        <v>287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288</v>
      </c>
      <c r="B24" s="21" t="s">
        <v>289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112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289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100</v>
      </c>
      <c r="B41" s="191" t="s">
        <v>305</v>
      </c>
      <c r="C41" s="191" t="s">
        <v>92</v>
      </c>
    </row>
    <row r="42" spans="1:36">
      <c r="A42" t="s">
        <v>285</v>
      </c>
      <c r="B42" s="72">
        <v>450</v>
      </c>
      <c r="C42" s="72">
        <v>450</v>
      </c>
    </row>
    <row r="43" spans="1:36">
      <c r="A43" t="s">
        <v>288</v>
      </c>
      <c r="B43" s="72">
        <v>450</v>
      </c>
      <c r="C43" s="72">
        <v>250</v>
      </c>
    </row>
    <row r="44" spans="1:36">
      <c r="A44" t="s">
        <v>112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307</v>
      </c>
      <c r="H52" s="12" t="s">
        <v>131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223</v>
      </c>
      <c r="E53" s="10" t="s">
        <v>182</v>
      </c>
      <c r="F53" s="10" t="s">
        <v>242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160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219</v>
      </c>
      <c r="J76" s="11" t="s">
        <v>341</v>
      </c>
      <c r="K76" s="11" t="s">
        <v>172</v>
      </c>
      <c r="AJ76" s="12"/>
    </row>
    <row r="77" spans="1:36">
      <c r="A77" t="s">
        <v>92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131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346</v>
      </c>
      <c r="D78" s="133"/>
      <c r="E78" s="12" t="s">
        <v>347</v>
      </c>
      <c r="F78" s="12" t="s">
        <v>93</v>
      </c>
      <c r="G78" s="12" t="s">
        <v>113</v>
      </c>
      <c r="H78" s="12" t="s">
        <v>308</v>
      </c>
      <c r="I78" s="12" t="s">
        <v>348</v>
      </c>
      <c r="J78" s="70" t="s">
        <v>349</v>
      </c>
      <c r="K78" s="12" t="s">
        <v>305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350</v>
      </c>
      <c r="F79" s="12" t="s">
        <v>351</v>
      </c>
      <c r="G79" s="12" t="s">
        <v>352</v>
      </c>
      <c r="I79" s="12" t="s">
        <v>160</v>
      </c>
      <c r="J79" s="70" t="s">
        <v>353</v>
      </c>
      <c r="K79" s="12" t="s">
        <v>305</v>
      </c>
      <c r="AJ79" s="12"/>
    </row>
    <row r="80" spans="1:36">
      <c r="B80" s="176">
        <v>20</v>
      </c>
      <c r="C80" s="12" t="s">
        <v>354</v>
      </c>
      <c r="D80" s="12">
        <f>D79+1</f>
        <v>2</v>
      </c>
      <c r="E80" s="12" t="s">
        <v>91</v>
      </c>
      <c r="F80" s="12" t="s">
        <v>355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356</v>
      </c>
      <c r="D81" s="12">
        <f>D80+1</f>
        <v>3</v>
      </c>
      <c r="J81" s="70" t="s">
        <v>357</v>
      </c>
      <c r="K81" s="12" t="s">
        <v>92</v>
      </c>
    </row>
    <row r="82" spans="1:36">
      <c r="B82" s="176">
        <v>40</v>
      </c>
      <c r="C82" s="12" t="s">
        <v>358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98</v>
      </c>
      <c r="D89" s="12">
        <f>D88+1</f>
        <v>11</v>
      </c>
    </row>
    <row r="90" spans="1:36">
      <c r="C90" s="12" t="s">
        <v>96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