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<sst xmlns="http://schemas.openxmlformats.org/spreadsheetml/2006/main" uniqueCount="366">
  <si>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</si>
  <si>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</si>
  <si>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</si>
  <si>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</si>
  <si>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</si>
  <si>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</si>
  <si>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</si>
  <si>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</si>
  <si>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</si>
  <si>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</si>
  <si>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</si>
  <si>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</si>
  <si>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</si>
  <si>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</si>
  <si>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</si>
  <si>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</si>
  <si>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</si>
  <si>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</si>
  <si>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</si>
  <si>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</si>
  <si>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</si>
  <si>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</si>
  <si>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</si>
  <si>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</si>
  <si>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</si>
  <si>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</si>
  <si>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</si>
  <si>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</si>
  <si>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</si>
  <si>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</si>
  <si>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</si>
  <si>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</si>
  <si>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</si>
  <si>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</si>
  <si>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</si>
  <si>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</si>
  <si>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</si>
  <si>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</si>
  <si>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</si>
  <si>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</si>
  <si>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</si>
  <si>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</si>
  <si>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</si>
  <si>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</si>
  <si>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</si>
  <si>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</si>
  <si>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</si>
  <si>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</si>
  <si>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</si>
  <si>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</si>
  <si>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</si>
  <si>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</si>
  <si>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</si>
  <si>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</si>
  <si>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</si>
  <si>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</si>
  <si>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</si>
  <si>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</si>
  <si>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</si>
  <si>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</si>
  <si>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</si>
  <si>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</si>
  <si>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</si>
  <si>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</si>
  <si>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</si>
  <si>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</si>
  <si>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</si>
  <si>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</si>
  <si>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</si>
  <si>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</si>
  <si>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</si>
  <si>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</si>
  <si>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</si>
  <si>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</si>
  <si>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</si>
  <si>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</si>
  <si>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</si>
  <si>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</si>
  <si>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</si>
  <si>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</si>
  <si>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</si>
  <si>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</si>
  <si>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</si>
  <si>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</si>
  <si>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</si>
  <si>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</si>
  <si>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</si>
  <si>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</si>
  <si>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</si>
  <si>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</si>
  <si>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</si>
  <si>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</si>
  <si>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</si>
  <si>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</si>
  <si>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</si>
  <si>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</si>
  <si>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</si>
  <si>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</si>
  <si>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</si>
  <si>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</si>
  <si>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</si>
  <si>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</si>
  <si>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</si>
  <si>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</si>
  <si>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</si>
  <si>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</si>
  <si>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</si>
  <si>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</si>
  <si>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</si>
  <si>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</si>
  <si>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</si>
  <si>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</si>
  <si>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</si>
  <si>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</si>
  <si>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</si>
  <si>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</si>
  <si>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</si>
  <si>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</si>
  <si>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</si>
  <si>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</si>
  <si>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</si>
  <si>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</si>
  <si>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</si>
  <si>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</si>
  <si>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</si>
  <si>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</si>
  <si>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</si>
  <si>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</si>
  <si>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</si>
  <si>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</si>
  <si>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</si>
  <si>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</si>
  <si>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</si>
  <si>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</si>
  <si>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</si>
  <si>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</si>
  <si>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</si>
  <si>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</si>
  <si>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</si>
  <si>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</si>
  <si>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</si>
  <si>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</si>
  <si>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</si>
  <si>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</si>
  <si>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9/18/2017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</si>
  <si>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</si>
  <si>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</si>
  <si>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</si>
  <si>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</si>
  <si>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</si>
  <si>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</si>
  <si>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2017/9/18</t>
  </si>
  <si>
    <t>Loan terms</t>
  </si>
  <si>
    <t>Expected disbursement date</t>
  </si>
  <si>
    <t>Expected first repayment date</t>
  </si>
  <si>
    <t>2017/10/18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</si>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</sst>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0.002441674034608822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0.0001329946403159953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26666.66666666667</v>
      </c>
    </row>
    <row r="17" spans="1:7">
      <c r="B17" s="1" t="s">
        <v>11</v>
      </c>
      <c r="C17" s="36">
        <f>SUM(Output!B6:M6)</f>
        <v>104606100</v>
      </c>
    </row>
    <row r="18" spans="1:7">
      <c r="B18" s="1" t="s">
        <v>12</v>
      </c>
      <c r="C18" s="36">
        <f>MIN(Output!B6:M6)</f>
        <v>8717175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8717175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8717175</v>
      </c>
      <c r="C6" s="51">
        <f>C30-C88</f>
        <v>8717175</v>
      </c>
      <c r="D6" s="51">
        <f>D30-D88</f>
        <v>8717175</v>
      </c>
      <c r="E6" s="51">
        <f>E30-E88</f>
        <v>8717175</v>
      </c>
      <c r="F6" s="51">
        <f>F30-F88</f>
        <v>8717175</v>
      </c>
      <c r="G6" s="51">
        <f>G30-G88</f>
        <v>8717175</v>
      </c>
      <c r="H6" s="51">
        <f>H30-H88</f>
        <v>8717175</v>
      </c>
      <c r="I6" s="51">
        <f>I30-I88</f>
        <v>8717175</v>
      </c>
      <c r="J6" s="51">
        <f>J30-J88</f>
        <v>8717175</v>
      </c>
      <c r="K6" s="51">
        <f>K30-K88</f>
        <v>8717175</v>
      </c>
      <c r="L6" s="51">
        <f>L30-L88</f>
        <v>8717175</v>
      </c>
      <c r="M6" s="51">
        <f>M30-M88</f>
        <v>8717175</v>
      </c>
      <c r="N6" s="51">
        <f>N30-N88</f>
        <v>8717175</v>
      </c>
      <c r="O6" s="51">
        <f>O30-O88</f>
        <v>8717175</v>
      </c>
      <c r="P6" s="51">
        <f>P30-P88</f>
        <v>8717175</v>
      </c>
      <c r="Q6" s="51">
        <f>Q30-Q88</f>
        <v>8717175</v>
      </c>
      <c r="R6" s="51">
        <f>R30-R88</f>
        <v>8717175</v>
      </c>
      <c r="S6" s="51">
        <f>S30-S88</f>
        <v>8717175</v>
      </c>
      <c r="T6" s="51">
        <f>T30-T88</f>
        <v>8717175</v>
      </c>
      <c r="U6" s="51">
        <f>U30-U88</f>
        <v>8717175</v>
      </c>
      <c r="V6" s="51">
        <f>V30-V88</f>
        <v>8717175</v>
      </c>
      <c r="W6" s="51">
        <f>W30-W88</f>
        <v>8717175</v>
      </c>
      <c r="X6" s="51">
        <f>X30-X88</f>
        <v>8717175</v>
      </c>
      <c r="Y6" s="51">
        <f>Y30-Y88</f>
        <v>8717175</v>
      </c>
      <c r="Z6" s="51">
        <f>SUMIF($B$13:$Y$13,"Yes",B6:Y6)</f>
        <v>43585875</v>
      </c>
      <c r="AA6" s="51">
        <f>AA30-AA88</f>
        <v>104606100</v>
      </c>
      <c r="AB6" s="51">
        <f>AB30-AB88</f>
        <v>209212200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26666.66666666667</v>
      </c>
      <c r="D10" s="37">
        <f>SUMPRODUCT((Calculations!$D$33:$D$84=Output!D5)+0,Calculations!$C$33:$C$84)</f>
        <v>26666.66666666667</v>
      </c>
      <c r="E10" s="37">
        <f>SUMPRODUCT((Calculations!$D$33:$D$84=Output!E5)+0,Calculations!$C$33:$C$84)</f>
        <v>26666.66666666667</v>
      </c>
      <c r="F10" s="37">
        <f>SUMPRODUCT((Calculations!$D$33:$D$84=Output!F5)+0,Calculations!$C$33:$C$84)</f>
        <v>26666.66666666667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106666.6666666667</v>
      </c>
      <c r="AA10" s="37">
        <f>SUM(B10:M10)</f>
        <v>106666.6666666667</v>
      </c>
      <c r="AB10" s="37">
        <f>SUM(B10:Y10)</f>
        <v>106666.6666666667</v>
      </c>
    </row>
    <row r="11" spans="1:30" customHeight="1" ht="15.75">
      <c r="A11" s="43" t="s">
        <v>31</v>
      </c>
      <c r="B11" s="80">
        <f>B6+B9-B10</f>
        <v>8817175</v>
      </c>
      <c r="C11" s="80">
        <f>C6+C9-C10</f>
        <v>8690508.333333334</v>
      </c>
      <c r="D11" s="80">
        <f>D6+D9-D10</f>
        <v>8690508.333333334</v>
      </c>
      <c r="E11" s="80">
        <f>E6+E9-E10</f>
        <v>8690508.333333334</v>
      </c>
      <c r="F11" s="80">
        <f>F6+F9-F10</f>
        <v>8690508.333333334</v>
      </c>
      <c r="G11" s="80">
        <f>G6+G9-G10</f>
        <v>8717175</v>
      </c>
      <c r="H11" s="80">
        <f>H6+H9-H10</f>
        <v>8717175</v>
      </c>
      <c r="I11" s="80">
        <f>I6+I9-I10</f>
        <v>8717175</v>
      </c>
      <c r="J11" s="80">
        <f>J6+J9-J10</f>
        <v>8717175</v>
      </c>
      <c r="K11" s="80">
        <f>K6+K9-K10</f>
        <v>8717175</v>
      </c>
      <c r="L11" s="80">
        <f>L6+L9-L10</f>
        <v>8717175</v>
      </c>
      <c r="M11" s="80">
        <f>M6+M9-M10</f>
        <v>8717175</v>
      </c>
      <c r="N11" s="80">
        <f>N6+N9-N10</f>
        <v>8717175</v>
      </c>
      <c r="O11" s="80">
        <f>O6+O9-O10</f>
        <v>8717175</v>
      </c>
      <c r="P11" s="80">
        <f>P6+P9-P10</f>
        <v>8717175</v>
      </c>
      <c r="Q11" s="80">
        <f>Q6+Q9-Q10</f>
        <v>8717175</v>
      </c>
      <c r="R11" s="80">
        <f>R6+R9-R10</f>
        <v>8717175</v>
      </c>
      <c r="S11" s="80">
        <f>S6+S9-S10</f>
        <v>8717175</v>
      </c>
      <c r="T11" s="80">
        <f>T6+T9-T10</f>
        <v>8717175</v>
      </c>
      <c r="U11" s="80">
        <f>U6+U9-U10</f>
        <v>8717175</v>
      </c>
      <c r="V11" s="80">
        <f>V6+V9-V10</f>
        <v>8717175</v>
      </c>
      <c r="W11" s="80">
        <f>W6+W9-W10</f>
        <v>8717175</v>
      </c>
      <c r="X11" s="80">
        <f>X6+X9-X10</f>
        <v>8717175</v>
      </c>
      <c r="Y11" s="80">
        <f>Y6+Y9-Y10</f>
        <v>8717175</v>
      </c>
      <c r="Z11" s="85">
        <f>SUMIF($B$13:$Y$13,"Yes",B11:Y11)</f>
        <v>43579208.33333334</v>
      </c>
      <c r="AA11" s="80">
        <f>SUM(B11:M11)</f>
        <v>104599433.3333333</v>
      </c>
      <c r="AB11" s="46">
        <f>SUM(B11:Y11)</f>
        <v>209205533.3333333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0.001520824362845881</v>
      </c>
      <c r="D12" s="82">
        <f>IF(D13="Yes",IF(SUM($B$10:D10)/(SUM($B$6:D6)+SUM($B$9:D9))&lt;0,999.99,SUM($B$10:D10)/(SUM($B$6:D6)+SUM($B$9:D9))),"")</f>
        <v>0.002031628003833428</v>
      </c>
      <c r="E12" s="82">
        <f>IF(E13="Yes",IF(SUM($B$10:E10)/(SUM($B$6:E6)+SUM($B$9:E9))&lt;0,999.99,SUM($B$10:E10)/(SUM($B$6:E6)+SUM($B$9:E9))),"")</f>
        <v>0.002287760196976153</v>
      </c>
      <c r="F12" s="82">
        <f>IF(F13="Yes",IF(SUM($B$10:F10)/(SUM($B$6:F6)+SUM($B$9:F9))&lt;0,999.99,SUM($B$10:F10)/(SUM($B$6:F6)+SUM($B$9:F9))),"")</f>
        <v>0.002441674034608822</v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36028000.00000001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21562500</v>
      </c>
      <c r="C24" s="36">
        <f>IFERROR(Calculations!$P14/12,"")</f>
        <v>21562500</v>
      </c>
      <c r="D24" s="36">
        <f>IFERROR(Calculations!$P14/12,"")</f>
        <v>21562500</v>
      </c>
      <c r="E24" s="36">
        <f>IFERROR(Calculations!$P14/12,"")</f>
        <v>21562500</v>
      </c>
      <c r="F24" s="36">
        <f>IFERROR(Calculations!$P14/12,"")</f>
        <v>21562500</v>
      </c>
      <c r="G24" s="36">
        <f>IFERROR(Calculations!$P14/12,"")</f>
        <v>21562500</v>
      </c>
      <c r="H24" s="36">
        <f>IFERROR(Calculations!$P14/12,"")</f>
        <v>21562500</v>
      </c>
      <c r="I24" s="36">
        <f>IFERROR(Calculations!$P14/12,"")</f>
        <v>21562500</v>
      </c>
      <c r="J24" s="36">
        <f>IFERROR(Calculations!$P14/12,"")</f>
        <v>21562500</v>
      </c>
      <c r="K24" s="36">
        <f>IFERROR(Calculations!$P14/12,"")</f>
        <v>21562500</v>
      </c>
      <c r="L24" s="36">
        <f>IFERROR(Calculations!$P14/12,"")</f>
        <v>21562500</v>
      </c>
      <c r="M24" s="36">
        <f>IFERROR(Calculations!$P14/12,"")</f>
        <v>21562500</v>
      </c>
      <c r="N24" s="36">
        <f>IFERROR(Calculations!$P14/12,"")</f>
        <v>21562500</v>
      </c>
      <c r="O24" s="36">
        <f>IFERROR(Calculations!$P14/12,"")</f>
        <v>21562500</v>
      </c>
      <c r="P24" s="36">
        <f>IFERROR(Calculations!$P14/12,"")</f>
        <v>21562500</v>
      </c>
      <c r="Q24" s="36">
        <f>IFERROR(Calculations!$P14/12,"")</f>
        <v>21562500</v>
      </c>
      <c r="R24" s="36">
        <f>IFERROR(Calculations!$P14/12,"")</f>
        <v>21562500</v>
      </c>
      <c r="S24" s="36">
        <f>IFERROR(Calculations!$P14/12,"")</f>
        <v>21562500</v>
      </c>
      <c r="T24" s="36">
        <f>IFERROR(Calculations!$P14/12,"")</f>
        <v>21562500</v>
      </c>
      <c r="U24" s="36">
        <f>IFERROR(Calculations!$P14/12,"")</f>
        <v>21562500</v>
      </c>
      <c r="V24" s="36">
        <f>IFERROR(Calculations!$P14/12,"")</f>
        <v>21562500</v>
      </c>
      <c r="W24" s="36">
        <f>IFERROR(Calculations!$P14/12,"")</f>
        <v>21562500</v>
      </c>
      <c r="X24" s="36">
        <f>IFERROR(Calculations!$P14/12,"")</f>
        <v>21562500</v>
      </c>
      <c r="Y24" s="36">
        <f>IFERROR(Calculations!$P14/12,"")</f>
        <v>21562500</v>
      </c>
      <c r="Z24" s="36">
        <f>SUMIF($B$13:$Y$13,"Yes",B24:Y24)</f>
        <v>107812500</v>
      </c>
      <c r="AA24" s="36">
        <f>SUM(B24:M24)</f>
        <v>258750000</v>
      </c>
      <c r="AB24" s="46">
        <f>SUM(B24:Y24)</f>
        <v>517500000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45999.99999999999</v>
      </c>
      <c r="C25" s="36">
        <f>IFERROR(Calculations!$P15/12,"")</f>
        <v>45999.99999999999</v>
      </c>
      <c r="D25" s="36">
        <f>IFERROR(Calculations!$P15/12,"")</f>
        <v>45999.99999999999</v>
      </c>
      <c r="E25" s="36">
        <f>IFERROR(Calculations!$P15/12,"")</f>
        <v>45999.99999999999</v>
      </c>
      <c r="F25" s="36">
        <f>IFERROR(Calculations!$P15/12,"")</f>
        <v>45999.99999999999</v>
      </c>
      <c r="G25" s="36">
        <f>IFERROR(Calculations!$P15/12,"")</f>
        <v>45999.99999999999</v>
      </c>
      <c r="H25" s="36">
        <f>IFERROR(Calculations!$P15/12,"")</f>
        <v>45999.99999999999</v>
      </c>
      <c r="I25" s="36">
        <f>IFERROR(Calculations!$P15/12,"")</f>
        <v>45999.99999999999</v>
      </c>
      <c r="J25" s="36">
        <f>IFERROR(Calculations!$P15/12,"")</f>
        <v>45999.99999999999</v>
      </c>
      <c r="K25" s="36">
        <f>IFERROR(Calculations!$P15/12,"")</f>
        <v>45999.99999999999</v>
      </c>
      <c r="L25" s="36">
        <f>IFERROR(Calculations!$P15/12,"")</f>
        <v>45999.99999999999</v>
      </c>
      <c r="M25" s="36">
        <f>IFERROR(Calculations!$P15/12,"")</f>
        <v>45999.99999999999</v>
      </c>
      <c r="N25" s="36">
        <f>IFERROR(Calculations!$P15/12,"")</f>
        <v>45999.99999999999</v>
      </c>
      <c r="O25" s="36">
        <f>IFERROR(Calculations!$P15/12,"")</f>
        <v>45999.99999999999</v>
      </c>
      <c r="P25" s="36">
        <f>IFERROR(Calculations!$P15/12,"")</f>
        <v>45999.99999999999</v>
      </c>
      <c r="Q25" s="36">
        <f>IFERROR(Calculations!$P15/12,"")</f>
        <v>45999.99999999999</v>
      </c>
      <c r="R25" s="36">
        <f>IFERROR(Calculations!$P15/12,"")</f>
        <v>45999.99999999999</v>
      </c>
      <c r="S25" s="36">
        <f>IFERROR(Calculations!$P15/12,"")</f>
        <v>45999.99999999999</v>
      </c>
      <c r="T25" s="36">
        <f>IFERROR(Calculations!$P15/12,"")</f>
        <v>45999.99999999999</v>
      </c>
      <c r="U25" s="36">
        <f>IFERROR(Calculations!$P15/12,"")</f>
        <v>45999.99999999999</v>
      </c>
      <c r="V25" s="36">
        <f>IFERROR(Calculations!$P15/12,"")</f>
        <v>45999.99999999999</v>
      </c>
      <c r="W25" s="36">
        <f>IFERROR(Calculations!$P15/12,"")</f>
        <v>45999.99999999999</v>
      </c>
      <c r="X25" s="36">
        <f>IFERROR(Calculations!$P15/12,"")</f>
        <v>45999.99999999999</v>
      </c>
      <c r="Y25" s="36">
        <f>IFERROR(Calculations!$P15/12,"")</f>
        <v>45999.99999999999</v>
      </c>
      <c r="Z25" s="36">
        <f>SUMIF($B$13:$Y$13,"Yes",B25:Y25)</f>
        <v>230000</v>
      </c>
      <c r="AA25" s="36">
        <f>SUM(B25:M25)</f>
        <v>551999.9999999999</v>
      </c>
      <c r="AB25" s="46">
        <f>SUM(B25:Y25)</f>
        <v>1104000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21608500</v>
      </c>
      <c r="C30" s="19">
        <f>SUM(C18:C29)</f>
        <v>21608500</v>
      </c>
      <c r="D30" s="19">
        <f>SUM(D18:D29)</f>
        <v>21608500</v>
      </c>
      <c r="E30" s="19">
        <f>SUM(E18:E29)</f>
        <v>21608500</v>
      </c>
      <c r="F30" s="19">
        <f>SUM(F18:F29)</f>
        <v>21608500</v>
      </c>
      <c r="G30" s="19">
        <f>SUM(G18:G29)</f>
        <v>21608500</v>
      </c>
      <c r="H30" s="19">
        <f>SUM(H18:H29)</f>
        <v>21608500</v>
      </c>
      <c r="I30" s="19">
        <f>SUM(I18:I29)</f>
        <v>21608500</v>
      </c>
      <c r="J30" s="19">
        <f>SUM(J18:J29)</f>
        <v>21608500</v>
      </c>
      <c r="K30" s="19">
        <f>SUM(K18:K29)</f>
        <v>21608500</v>
      </c>
      <c r="L30" s="19">
        <f>SUM(L18:L29)</f>
        <v>21608500</v>
      </c>
      <c r="M30" s="19">
        <f>SUM(M18:M29)</f>
        <v>21608500</v>
      </c>
      <c r="N30" s="19">
        <f>SUM(N18:N29)</f>
        <v>21608500</v>
      </c>
      <c r="O30" s="19">
        <f>SUM(O18:O29)</f>
        <v>21608500</v>
      </c>
      <c r="P30" s="19">
        <f>SUM(P18:P29)</f>
        <v>21608500</v>
      </c>
      <c r="Q30" s="19">
        <f>SUM(Q18:Q29)</f>
        <v>21608500</v>
      </c>
      <c r="R30" s="19">
        <f>SUM(R18:R29)</f>
        <v>21608500</v>
      </c>
      <c r="S30" s="19">
        <f>SUM(S18:S29)</f>
        <v>21608500</v>
      </c>
      <c r="T30" s="19">
        <f>SUM(T18:T29)</f>
        <v>21608500</v>
      </c>
      <c r="U30" s="19">
        <f>SUM(U18:U29)</f>
        <v>21608500</v>
      </c>
      <c r="V30" s="19">
        <f>SUM(V18:V29)</f>
        <v>21608500</v>
      </c>
      <c r="W30" s="19">
        <f>SUM(W18:W29)</f>
        <v>21608500</v>
      </c>
      <c r="X30" s="19">
        <f>SUM(X18:X29)</f>
        <v>21608500</v>
      </c>
      <c r="Y30" s="19">
        <f>SUM(Y18:Y29)</f>
        <v>21608500</v>
      </c>
      <c r="Z30" s="19">
        <f>SUMIF($B$13:$Y$13,"Yes",B30:Y30)</f>
        <v>108042500</v>
      </c>
      <c r="AA30" s="19">
        <f>SUM(B30:M30)</f>
        <v>259302000</v>
      </c>
      <c r="AB30" s="19">
        <f>SUM(B30:Y30)</f>
        <v>518604000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4577708.333333333</v>
      </c>
      <c r="C74" s="46">
        <f>SUM(Calculations!$Q$14:$Q$16)/12</f>
        <v>4577708.333333333</v>
      </c>
      <c r="D74" s="46">
        <f>SUM(Calculations!$Q$14:$Q$16)/12</f>
        <v>4577708.333333333</v>
      </c>
      <c r="E74" s="46">
        <f>SUM(Calculations!$Q$14:$Q$16)/12</f>
        <v>4577708.333333333</v>
      </c>
      <c r="F74" s="46">
        <f>SUM(Calculations!$Q$14:$Q$16)/12</f>
        <v>4577708.333333333</v>
      </c>
      <c r="G74" s="46">
        <f>SUM(Calculations!$Q$14:$Q$16)/12</f>
        <v>4577708.333333333</v>
      </c>
      <c r="H74" s="46">
        <f>SUM(Calculations!$Q$14:$Q$16)/12</f>
        <v>4577708.333333333</v>
      </c>
      <c r="I74" s="46">
        <f>SUM(Calculations!$Q$14:$Q$16)/12</f>
        <v>4577708.333333333</v>
      </c>
      <c r="J74" s="46">
        <f>SUM(Calculations!$Q$14:$Q$16)/12</f>
        <v>4577708.333333333</v>
      </c>
      <c r="K74" s="46">
        <f>SUM(Calculations!$Q$14:$Q$16)/12</f>
        <v>4577708.333333333</v>
      </c>
      <c r="L74" s="46">
        <f>SUM(Calculations!$Q$14:$Q$16)/12</f>
        <v>4577708.333333333</v>
      </c>
      <c r="M74" s="46">
        <f>SUM(Calculations!$Q$14:$Q$16)/12</f>
        <v>4577708.333333333</v>
      </c>
      <c r="N74" s="46">
        <f>SUM(Calculations!$Q$14:$Q$16)/12</f>
        <v>4577708.333333333</v>
      </c>
      <c r="O74" s="46">
        <f>SUM(Calculations!$Q$14:$Q$16)/12</f>
        <v>4577708.333333333</v>
      </c>
      <c r="P74" s="46">
        <f>SUM(Calculations!$Q$14:$Q$16)/12</f>
        <v>4577708.333333333</v>
      </c>
      <c r="Q74" s="46">
        <f>SUM(Calculations!$Q$14:$Q$16)/12</f>
        <v>4577708.333333333</v>
      </c>
      <c r="R74" s="46">
        <f>SUM(Calculations!$Q$14:$Q$16)/12</f>
        <v>4577708.333333333</v>
      </c>
      <c r="S74" s="46">
        <f>SUM(Calculations!$Q$14:$Q$16)/12</f>
        <v>4577708.333333333</v>
      </c>
      <c r="T74" s="46">
        <f>SUM(Calculations!$Q$14:$Q$16)/12</f>
        <v>4577708.333333333</v>
      </c>
      <c r="U74" s="46">
        <f>SUM(Calculations!$Q$14:$Q$16)/12</f>
        <v>4577708.333333333</v>
      </c>
      <c r="V74" s="46">
        <f>SUM(Calculations!$Q$14:$Q$16)/12</f>
        <v>4577708.333333333</v>
      </c>
      <c r="W74" s="46">
        <f>SUM(Calculations!$Q$14:$Q$16)/12</f>
        <v>4577708.333333333</v>
      </c>
      <c r="X74" s="46">
        <f>SUM(Calculations!$Q$14:$Q$16)/12</f>
        <v>4577708.333333333</v>
      </c>
      <c r="Y74" s="46">
        <f>SUM(Calculations!$Q$14:$Q$16)/12</f>
        <v>4577708.333333333</v>
      </c>
      <c r="Z74" s="46">
        <f>SUMIF($B$13:$Y$13,"Yes",B74:Y74)</f>
        <v>22888541.66666666</v>
      </c>
      <c r="AA74" s="46">
        <f>SUM(B74:M74)</f>
        <v>54932500.00000001</v>
      </c>
      <c r="AB74" s="46">
        <f>SUM(B74:Y74)</f>
        <v>109865000</v>
      </c>
    </row>
    <row r="75" spans="1:30">
      <c r="A75" s="16" t="s">
        <v>47</v>
      </c>
      <c r="B75" s="46">
        <f>SUM(Calculations!$R$14:$R$16)/12</f>
        <v>1001000</v>
      </c>
      <c r="C75" s="46">
        <f>SUM(Calculations!$R$14:$R$16)/12</f>
        <v>1001000</v>
      </c>
      <c r="D75" s="46">
        <f>SUM(Calculations!$R$14:$R$16)/12</f>
        <v>1001000</v>
      </c>
      <c r="E75" s="46">
        <f>SUM(Calculations!$R$14:$R$16)/12</f>
        <v>1001000</v>
      </c>
      <c r="F75" s="46">
        <f>SUM(Calculations!$R$14:$R$16)/12</f>
        <v>1001000</v>
      </c>
      <c r="G75" s="46">
        <f>SUM(Calculations!$R$14:$R$16)/12</f>
        <v>1001000</v>
      </c>
      <c r="H75" s="46">
        <f>SUM(Calculations!$R$14:$R$16)/12</f>
        <v>1001000</v>
      </c>
      <c r="I75" s="46">
        <f>SUM(Calculations!$R$14:$R$16)/12</f>
        <v>1001000</v>
      </c>
      <c r="J75" s="46">
        <f>SUM(Calculations!$R$14:$R$16)/12</f>
        <v>1001000</v>
      </c>
      <c r="K75" s="46">
        <f>SUM(Calculations!$R$14:$R$16)/12</f>
        <v>1001000</v>
      </c>
      <c r="L75" s="46">
        <f>SUM(Calculations!$R$14:$R$16)/12</f>
        <v>1001000</v>
      </c>
      <c r="M75" s="46">
        <f>SUM(Calculations!$R$14:$R$16)/12</f>
        <v>1001000</v>
      </c>
      <c r="N75" s="46">
        <f>SUM(Calculations!$R$14:$R$16)/12</f>
        <v>1001000</v>
      </c>
      <c r="O75" s="46">
        <f>SUM(Calculations!$R$14:$R$16)/12</f>
        <v>1001000</v>
      </c>
      <c r="P75" s="46">
        <f>SUM(Calculations!$R$14:$R$16)/12</f>
        <v>1001000</v>
      </c>
      <c r="Q75" s="46">
        <f>SUM(Calculations!$R$14:$R$16)/12</f>
        <v>1001000</v>
      </c>
      <c r="R75" s="46">
        <f>SUM(Calculations!$R$14:$R$16)/12</f>
        <v>1001000</v>
      </c>
      <c r="S75" s="46">
        <f>SUM(Calculations!$R$14:$R$16)/12</f>
        <v>1001000</v>
      </c>
      <c r="T75" s="46">
        <f>SUM(Calculations!$R$14:$R$16)/12</f>
        <v>1001000</v>
      </c>
      <c r="U75" s="46">
        <f>SUM(Calculations!$R$14:$R$16)/12</f>
        <v>1001000</v>
      </c>
      <c r="V75" s="46">
        <f>SUM(Calculations!$R$14:$R$16)/12</f>
        <v>1001000</v>
      </c>
      <c r="W75" s="46">
        <f>SUM(Calculations!$R$14:$R$16)/12</f>
        <v>1001000</v>
      </c>
      <c r="X75" s="46">
        <f>SUM(Calculations!$R$14:$R$16)/12</f>
        <v>1001000</v>
      </c>
      <c r="Y75" s="46">
        <f>SUM(Calculations!$R$14:$R$16)/12</f>
        <v>1001000</v>
      </c>
      <c r="Z75" s="46">
        <f>SUMIF($B$13:$Y$13,"Yes",B75:Y75)</f>
        <v>5005000</v>
      </c>
      <c r="AA75" s="46">
        <f>SUM(B75:M75)</f>
        <v>12012000</v>
      </c>
      <c r="AB75" s="46">
        <f>SUM(B75:Y75)</f>
        <v>24024000</v>
      </c>
    </row>
    <row r="76" spans="1:30">
      <c r="A76" s="16" t="s">
        <v>48</v>
      </c>
      <c r="B76" s="46">
        <f>SUM(Calculations!$S$14:$S$16)/12</f>
        <v>1501166.666666667</v>
      </c>
      <c r="C76" s="46">
        <f>SUM(Calculations!$S$14:$S$16)/12</f>
        <v>1501166.666666667</v>
      </c>
      <c r="D76" s="46">
        <f>SUM(Calculations!$S$14:$S$16)/12</f>
        <v>1501166.666666667</v>
      </c>
      <c r="E76" s="46">
        <f>SUM(Calculations!$S$14:$S$16)/12</f>
        <v>1501166.666666667</v>
      </c>
      <c r="F76" s="46">
        <f>SUM(Calculations!$S$14:$S$16)/12</f>
        <v>1501166.666666667</v>
      </c>
      <c r="G76" s="46">
        <f>SUM(Calculations!$S$14:$S$16)/12</f>
        <v>1501166.666666667</v>
      </c>
      <c r="H76" s="46">
        <f>SUM(Calculations!$S$14:$S$16)/12</f>
        <v>1501166.666666667</v>
      </c>
      <c r="I76" s="46">
        <f>SUM(Calculations!$S$14:$S$16)/12</f>
        <v>1501166.666666667</v>
      </c>
      <c r="J76" s="46">
        <f>SUM(Calculations!$S$14:$S$16)/12</f>
        <v>1501166.666666667</v>
      </c>
      <c r="K76" s="46">
        <f>SUM(Calculations!$S$14:$S$16)/12</f>
        <v>1501166.666666667</v>
      </c>
      <c r="L76" s="46">
        <f>SUM(Calculations!$S$14:$S$16)/12</f>
        <v>1501166.666666667</v>
      </c>
      <c r="M76" s="46">
        <f>SUM(Calculations!$S$14:$S$16)/12</f>
        <v>1501166.666666667</v>
      </c>
      <c r="N76" s="46">
        <f>SUM(Calculations!$S$14:$S$16)/12</f>
        <v>1501166.666666667</v>
      </c>
      <c r="O76" s="46">
        <f>SUM(Calculations!$S$14:$S$16)/12</f>
        <v>1501166.666666667</v>
      </c>
      <c r="P76" s="46">
        <f>SUM(Calculations!$S$14:$S$16)/12</f>
        <v>1501166.666666667</v>
      </c>
      <c r="Q76" s="46">
        <f>SUM(Calculations!$S$14:$S$16)/12</f>
        <v>1501166.666666667</v>
      </c>
      <c r="R76" s="46">
        <f>SUM(Calculations!$S$14:$S$16)/12</f>
        <v>1501166.666666667</v>
      </c>
      <c r="S76" s="46">
        <f>SUM(Calculations!$S$14:$S$16)/12</f>
        <v>1501166.666666667</v>
      </c>
      <c r="T76" s="46">
        <f>SUM(Calculations!$S$14:$S$16)/12</f>
        <v>1501166.666666667</v>
      </c>
      <c r="U76" s="46">
        <f>SUM(Calculations!$S$14:$S$16)/12</f>
        <v>1501166.666666667</v>
      </c>
      <c r="V76" s="46">
        <f>SUM(Calculations!$S$14:$S$16)/12</f>
        <v>1501166.666666667</v>
      </c>
      <c r="W76" s="46">
        <f>SUM(Calculations!$S$14:$S$16)/12</f>
        <v>1501166.666666667</v>
      </c>
      <c r="X76" s="46">
        <f>SUM(Calculations!$S$14:$S$16)/12</f>
        <v>1501166.666666667</v>
      </c>
      <c r="Y76" s="46">
        <f>SUM(Calculations!$S$14:$S$16)/12</f>
        <v>1501166.666666667</v>
      </c>
      <c r="Z76" s="46">
        <f>SUMIF($B$13:$Y$13,"Yes",B76:Y76)</f>
        <v>7505833.333333334</v>
      </c>
      <c r="AA76" s="46">
        <f>SUM(B76:M76)</f>
        <v>18014000</v>
      </c>
      <c r="AB76" s="46">
        <f>SUM(B76:Y76)</f>
        <v>36028000.00000001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5811450</v>
      </c>
      <c r="C81" s="46">
        <f>(SUM($AA$18:$AA$29)-SUM($AA$36,$AA$42,$AA$48,$AA$54,$AA$60,$AA$66,$AA$72:$AA$79))*Parameters!$B$37/12</f>
        <v>5811450</v>
      </c>
      <c r="D81" s="46">
        <f>(SUM($AA$18:$AA$29)-SUM($AA$36,$AA$42,$AA$48,$AA$54,$AA$60,$AA$66,$AA$72:$AA$79))*Parameters!$B$37/12</f>
        <v>5811450</v>
      </c>
      <c r="E81" s="46">
        <f>(SUM($AA$18:$AA$29)-SUM($AA$36,$AA$42,$AA$48,$AA$54,$AA$60,$AA$66,$AA$72:$AA$79))*Parameters!$B$37/12</f>
        <v>5811450</v>
      </c>
      <c r="F81" s="46">
        <f>(SUM($AA$18:$AA$29)-SUM($AA$36,$AA$42,$AA$48,$AA$54,$AA$60,$AA$66,$AA$72:$AA$79))*Parameters!$B$37/12</f>
        <v>5811450</v>
      </c>
      <c r="G81" s="46">
        <f>(SUM($AA$18:$AA$29)-SUM($AA$36,$AA$42,$AA$48,$AA$54,$AA$60,$AA$66,$AA$72:$AA$79))*Parameters!$B$37/12</f>
        <v>5811450</v>
      </c>
      <c r="H81" s="46">
        <f>(SUM($AA$18:$AA$29)-SUM($AA$36,$AA$42,$AA$48,$AA$54,$AA$60,$AA$66,$AA$72:$AA$79))*Parameters!$B$37/12</f>
        <v>5811450</v>
      </c>
      <c r="I81" s="46">
        <f>(SUM($AA$18:$AA$29)-SUM($AA$36,$AA$42,$AA$48,$AA$54,$AA$60,$AA$66,$AA$72:$AA$79))*Parameters!$B$37/12</f>
        <v>5811450</v>
      </c>
      <c r="J81" s="46">
        <f>(SUM($AA$18:$AA$29)-SUM($AA$36,$AA$42,$AA$48,$AA$54,$AA$60,$AA$66,$AA$72:$AA$79))*Parameters!$B$37/12</f>
        <v>5811450</v>
      </c>
      <c r="K81" s="46">
        <f>(SUM($AA$18:$AA$29)-SUM($AA$36,$AA$42,$AA$48,$AA$54,$AA$60,$AA$66,$AA$72:$AA$79))*Parameters!$B$37/12</f>
        <v>5811450</v>
      </c>
      <c r="L81" s="46">
        <f>(SUM($AA$18:$AA$29)-SUM($AA$36,$AA$42,$AA$48,$AA$54,$AA$60,$AA$66,$AA$72:$AA$79))*Parameters!$B$37/12</f>
        <v>5811450</v>
      </c>
      <c r="M81" s="46">
        <f>(SUM($AA$18:$AA$29)-SUM($AA$36,$AA$42,$AA$48,$AA$54,$AA$60,$AA$66,$AA$72:$AA$79))*Parameters!$B$37/12</f>
        <v>5811450</v>
      </c>
      <c r="N81" s="46">
        <f>(SUM($AA$18:$AA$29)-SUM($AA$36,$AA$42,$AA$48,$AA$54,$AA$60,$AA$66,$AA$72:$AA$79))*Parameters!$B$37/12</f>
        <v>5811450</v>
      </c>
      <c r="O81" s="46">
        <f>(SUM($AA$18:$AA$29)-SUM($AA$36,$AA$42,$AA$48,$AA$54,$AA$60,$AA$66,$AA$72:$AA$79))*Parameters!$B$37/12</f>
        <v>5811450</v>
      </c>
      <c r="P81" s="46">
        <f>(SUM($AA$18:$AA$29)-SUM($AA$36,$AA$42,$AA$48,$AA$54,$AA$60,$AA$66,$AA$72:$AA$79))*Parameters!$B$37/12</f>
        <v>5811450</v>
      </c>
      <c r="Q81" s="46">
        <f>(SUM($AA$18:$AA$29)-SUM($AA$36,$AA$42,$AA$48,$AA$54,$AA$60,$AA$66,$AA$72:$AA$79))*Parameters!$B$37/12</f>
        <v>5811450</v>
      </c>
      <c r="R81" s="46">
        <f>(SUM($AA$18:$AA$29)-SUM($AA$36,$AA$42,$AA$48,$AA$54,$AA$60,$AA$66,$AA$72:$AA$79))*Parameters!$B$37/12</f>
        <v>5811450</v>
      </c>
      <c r="S81" s="46">
        <f>(SUM($AA$18:$AA$29)-SUM($AA$36,$AA$42,$AA$48,$AA$54,$AA$60,$AA$66,$AA$72:$AA$79))*Parameters!$B$37/12</f>
        <v>5811450</v>
      </c>
      <c r="T81" s="46">
        <f>(SUM($AA$18:$AA$29)-SUM($AA$36,$AA$42,$AA$48,$AA$54,$AA$60,$AA$66,$AA$72:$AA$79))*Parameters!$B$37/12</f>
        <v>5811450</v>
      </c>
      <c r="U81" s="46">
        <f>(SUM($AA$18:$AA$29)-SUM($AA$36,$AA$42,$AA$48,$AA$54,$AA$60,$AA$66,$AA$72:$AA$79))*Parameters!$B$37/12</f>
        <v>5811450</v>
      </c>
      <c r="V81" s="46">
        <f>(SUM($AA$18:$AA$29)-SUM($AA$36,$AA$42,$AA$48,$AA$54,$AA$60,$AA$66,$AA$72:$AA$79))*Parameters!$B$37/12</f>
        <v>5811450</v>
      </c>
      <c r="W81" s="46">
        <f>(SUM($AA$18:$AA$29)-SUM($AA$36,$AA$42,$AA$48,$AA$54,$AA$60,$AA$66,$AA$72:$AA$79))*Parameters!$B$37/12</f>
        <v>5811450</v>
      </c>
      <c r="X81" s="46">
        <f>(SUM($AA$18:$AA$29)-SUM($AA$36,$AA$42,$AA$48,$AA$54,$AA$60,$AA$66,$AA$72:$AA$79))*Parameters!$B$37/12</f>
        <v>5811450</v>
      </c>
      <c r="Y81" s="46">
        <f>(SUM($AA$18:$AA$29)-SUM($AA$36,$AA$42,$AA$48,$AA$54,$AA$60,$AA$66,$AA$72:$AA$79))*Parameters!$B$37/12</f>
        <v>5811450</v>
      </c>
      <c r="Z81" s="46">
        <f>SUMIF($B$13:$Y$13,"Yes",B81:Y81)</f>
        <v>29057250</v>
      </c>
      <c r="AA81" s="46">
        <f>SUM(B81:M81)</f>
        <v>69737400</v>
      </c>
      <c r="AB81" s="46">
        <f>SUM(B81:Y81)</f>
        <v>139474800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12891325</v>
      </c>
      <c r="C88" s="19">
        <f>SUM(C72:C82,C66,C60,C54,C48,C42,C36)</f>
        <v>12891325</v>
      </c>
      <c r="D88" s="19">
        <f>SUM(D72:D82,D66,D60,D54,D48,D42,D36)</f>
        <v>12891325</v>
      </c>
      <c r="E88" s="19">
        <f>SUM(E72:E82,E66,E60,E54,E48,E42,E36)</f>
        <v>12891325</v>
      </c>
      <c r="F88" s="19">
        <f>SUM(F72:F82,F66,F60,F54,F48,F42,F36)</f>
        <v>12891325</v>
      </c>
      <c r="G88" s="19">
        <f>SUM(G72:G82,G66,G60,G54,G48,G42,G36)</f>
        <v>12891325</v>
      </c>
      <c r="H88" s="19">
        <f>SUM(H72:H82,H66,H60,H54,H48,H42,H36)</f>
        <v>12891325</v>
      </c>
      <c r="I88" s="19">
        <f>SUM(I72:I82,I66,I60,I54,I48,I42,I36)</f>
        <v>12891325</v>
      </c>
      <c r="J88" s="19">
        <f>SUM(J72:J82,J66,J60,J54,J48,J42,J36)</f>
        <v>12891325</v>
      </c>
      <c r="K88" s="19">
        <f>SUM(K72:K82,K66,K60,K54,K48,K42,K36)</f>
        <v>12891325</v>
      </c>
      <c r="L88" s="19">
        <f>SUM(L72:L82,L66,L60,L54,L48,L42,L36)</f>
        <v>12891325</v>
      </c>
      <c r="M88" s="19">
        <f>SUM(M72:M82,M66,M60,M54,M48,M42,M36)</f>
        <v>12891325</v>
      </c>
      <c r="N88" s="19">
        <f>SUM(N72:N82,N66,N60,N54,N48,N42,N36)</f>
        <v>12891325</v>
      </c>
      <c r="O88" s="19">
        <f>SUM(O72:O82,O66,O60,O54,O48,O42,O36)</f>
        <v>12891325</v>
      </c>
      <c r="P88" s="19">
        <f>SUM(P72:P82,P66,P60,P54,P48,P42,P36)</f>
        <v>12891325</v>
      </c>
      <c r="Q88" s="19">
        <f>SUM(Q72:Q82,Q66,Q60,Q54,Q48,Q42,Q36)</f>
        <v>12891325</v>
      </c>
      <c r="R88" s="19">
        <f>SUM(R72:R82,R66,R60,R54,R48,R42,R36)</f>
        <v>12891325</v>
      </c>
      <c r="S88" s="19">
        <f>SUM(S72:S82,S66,S60,S54,S48,S42,S36)</f>
        <v>12891325</v>
      </c>
      <c r="T88" s="19">
        <f>SUM(T72:T82,T66,T60,T54,T48,T42,T36)</f>
        <v>12891325</v>
      </c>
      <c r="U88" s="19">
        <f>SUM(U72:U82,U66,U60,U54,U48,U42,U36)</f>
        <v>12891325</v>
      </c>
      <c r="V88" s="19">
        <f>SUM(V72:V82,V66,V60,V54,V48,V42,V36)</f>
        <v>12891325</v>
      </c>
      <c r="W88" s="19">
        <f>SUM(W72:W82,W66,W60,W54,W48,W42,W36)</f>
        <v>12891325</v>
      </c>
      <c r="X88" s="19">
        <f>SUM(X72:X82,X66,X60,X54,X48,X42,X36)</f>
        <v>12891325</v>
      </c>
      <c r="Y88" s="19">
        <f>SUM(Y72:Y82,Y66,Y60,Y54,Y48,Y42,Y36)</f>
        <v>12891325</v>
      </c>
      <c r="Z88" s="19">
        <f>SUMIF($B$13:$Y$13,"Yes",B88:Y88)</f>
        <v>64456625</v>
      </c>
      <c r="AA88" s="19">
        <f>SUM(B88:M88)</f>
        <v>154695900</v>
      </c>
      <c r="AB88" s="19">
        <f>SUM(B88:Y88)</f>
        <v>309391800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721000000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751910000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60000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20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>
        <v>0</v>
      </c>
      <c r="C35" s="145" t="s">
        <v>123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123</v>
      </c>
      <c r="D36" s="49">
        <f>IFERROR(VLOOKUP(C36,Parameters!$C$79:$D$90,2,0),"")</f>
        <v>12</v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30000000</v>
      </c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800000</v>
      </c>
    </row>
    <row r="48" spans="1:48" customHeight="1" ht="30">
      <c r="A48" s="57" t="s">
        <v>134</v>
      </c>
      <c r="B48" s="161">
        <v>100000</v>
      </c>
    </row>
    <row r="49" spans="1:48" customHeight="1" ht="30">
      <c r="A49" s="57" t="s">
        <v>135</v>
      </c>
      <c r="B49" s="161">
        <v>10000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0</v>
      </c>
      <c r="B56" s="159">
        <v>0</v>
      </c>
      <c r="C56" s="162" t="s">
        <v>144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144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144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144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144</v>
      </c>
      <c r="D60" s="167"/>
      <c r="E60" s="167" t="s">
        <v>92</v>
      </c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146</v>
      </c>
      <c r="C65" s="10" t="s">
        <v>147</v>
      </c>
    </row>
    <row r="66" spans="1:48">
      <c r="A66" s="142" t="s">
        <v>123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123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123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123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123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123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3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60000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258750000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54750000</v>
      </c>
      <c r="R14" s="63">
        <f>IFERROR(D14*INDEX(Parameters!$A$22:$P$29,MATCH(Calculations!$A14,Parameters!$A$22:$A$29,0),MATCH(Parameters!$M$22,Parameters!$A$22:$P$22,0)),"")</f>
        <v>12000000</v>
      </c>
      <c r="S14" s="63">
        <f>IFERROR(D14*INDEX(Parameters!$A$22:$P$29,MATCH(Calculations!$A14,Parameters!$A$22:$A$29,0),MATCH(Parameters!$N$22,Parameters!$A$22:$P$22,0)),"")</f>
        <v>18000000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43026</v>
      </c>
      <c r="C33" s="27">
        <f>IF(B33&lt;&gt;"",IF(COUNT($A$33:A33)&lt;=$G$39,0,$G$41)+IF(COUNT($A$33:A33)&lt;=$G$40,0,$G$42),0)</f>
        <v>26666.66666666667</v>
      </c>
      <c r="D33" s="170">
        <f>IFERROR(DATE(YEAR(B33),MONTH(B33),1)," ")</f>
        <v>43009</v>
      </c>
      <c r="F33" t="s">
        <v>153</v>
      </c>
      <c r="G33" s="128">
        <f>IF(Inputs!B79="","",DATE(YEAR(Inputs!B79),MONTH(Inputs!B79),DAY(Inputs!B79)))</f>
        <v>42996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43057</v>
      </c>
      <c r="C34" s="27">
        <f>IF(B34&lt;&gt;"",IF(COUNT($A$33:A34)&lt;=$G$39,0,$G$41)+IF(COUNT($A$33:A34)&lt;=$G$40,0,$G$42),0)</f>
        <v>26666.66666666667</v>
      </c>
      <c r="D34" s="170">
        <f>IFERROR(DATE(YEAR(B34),MONTH(B34),1)," ")</f>
        <v>43040</v>
      </c>
      <c r="F34" t="s">
        <v>154</v>
      </c>
      <c r="G34" s="128">
        <f>IF(Inputs!B80="","",DATE(YEAR(Inputs!B80),MONTH(Inputs!B80),DAY(Inputs!B80)))</f>
        <v>43026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43087</v>
      </c>
      <c r="C35" s="27">
        <f>IF(B35&lt;&gt;"",IF(COUNT($A$33:A35)&lt;=$G$39,0,$G$41)+IF(COUNT($A$33:A35)&lt;=$G$40,0,$G$42),0)</f>
        <v>26666.66666666667</v>
      </c>
      <c r="D35" s="170">
        <f>IFERROR(DATE(YEAR(B35),MONTH(B35),1)," ")</f>
        <v>43070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43118</v>
      </c>
      <c r="C36" s="27">
        <f>IF(B36&lt;&gt;"",IF(COUNT($A$33:A36)&lt;=$G$39,0,$G$41)+IF(COUNT($A$33:A36)&lt;=$G$40,0,$G$42),0)</f>
        <v>26666.66666666667</v>
      </c>
      <c r="D36" s="170">
        <f>IFERROR(DATE(YEAR(B36),MONTH(B36),1)," ")</f>
        <v>43101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219</v>
      </c>
      <c r="G38" s="27">
        <f>IFERROR(Inputs!B85/Inputs!B84,"")</f>
        <v>4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220</v>
      </c>
      <c r="G41" s="73">
        <f>IFERROR(G35/(G38-G39),"")</f>
        <v>25000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307</v>
      </c>
      <c r="H52" s="12" t="s">
        <v>129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222</v>
      </c>
      <c r="E53" s="10" t="s">
        <v>181</v>
      </c>
      <c r="F53" s="10" t="s">
        <v>241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159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218</v>
      </c>
      <c r="J76" s="11" t="s">
        <v>341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129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308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159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