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<sst xmlns="http://schemas.openxmlformats.org/spreadsheetml/2006/main" uniqueCount="370">
  <si>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</si>
  <si>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</si>
  <si>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</si>
  <si>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</si>
  <si>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</si>
  <si>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</si>
  <si>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</si>
  <si>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</si>
  <si>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</si>
  <si>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</si>
  <si>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</si>
  <si>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</si>
  <si>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</si>
  <si>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</si>
  <si>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</si>
  <si>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</si>
  <si>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</si>
  <si>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</si>
  <si>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</si>
  <si>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</si>
  <si>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</si>
  <si>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</si>
  <si>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</si>
  <si>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</si>
  <si>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</si>
  <si>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</si>
  <si>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</si>
  <si>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</si>
  <si>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</si>
  <si>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</si>
  <si>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</si>
  <si>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</si>
  <si>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</si>
  <si>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</si>
  <si>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</si>
  <si>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</si>
  <si>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</si>
  <si>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</si>
  <si>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</si>
  <si>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</si>
  <si>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</si>
  <si>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</si>
  <si>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</si>
  <si>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</si>
  <si>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</si>
  <si>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</si>
  <si>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</si>
  <si>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</si>
  <si>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</si>
  <si>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</si>
  <si>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</si>
  <si>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</si>
  <si>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</si>
  <si>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</si>
  <si>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</si>
  <si>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</si>
  <si>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</si>
  <si>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</si>
  <si>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</si>
  <si>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</si>
  <si>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</si>
  <si>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</si>
  <si>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</si>
  <si>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</si>
  <si>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</si>
  <si>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</si>
  <si>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</si>
  <si>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</si>
  <si>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</si>
  <si>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</si>
  <si>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</si>
  <si>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</si>
  <si>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</si>
  <si>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</si>
  <si>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</si>
  <si>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</si>
  <si>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</si>
  <si>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</si>
  <si>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</si>
  <si>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</si>
  <si>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</si>
  <si>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</si>
  <si>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</si>
  <si>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</si>
  <si>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</si>
  <si>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</si>
  <si>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</si>
  <si>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</si>
  <si>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</si>
  <si>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</si>
  <si>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</si>
  <si>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Inorganic fertizers</t>
  </si>
  <si>
    <t>Yes</t>
  </si>
  <si>
    <t>No</t>
  </si>
  <si>
    <t>October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</si>
  <si>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</si>
  <si>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</si>
  <si>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</si>
  <si>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</si>
  <si>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</si>
  <si>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</si>
  <si>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</si>
  <si>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</si>
  <si>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</si>
  <si>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</si>
  <si>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</si>
  <si>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</si>
  <si>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</si>
  <si>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</si>
  <si>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</si>
  <si>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</si>
  <si>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</si>
  <si>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</si>
  <si>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</si>
  <si>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bodaboda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</si>
  <si>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</si>
  <si>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</si>
  <si>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</si>
  <si>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</si>
  <si>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</si>
  <si>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</si>
  <si>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</si>
  <si>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construction of rentals</t>
  </si>
  <si>
    <t>January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</si>
  <si>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</si>
  <si>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</si>
  <si>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</si>
  <si>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</si>
  <si>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</si>
  <si>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</si>
  <si>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</si>
  <si>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</si>
  <si>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</si>
  <si>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</si>
  <si>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</si>
  <si>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</si>
  <si>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</si>
  <si>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</si>
  <si>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</si>
  <si>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</si>
  <si>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</si>
  <si>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</si>
  <si>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</si>
  <si>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</si>
  <si>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12/11/2015</t>
  </si>
  <si>
    <t>family bank</t>
  </si>
  <si>
    <t>well paying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</si>
  <si>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</si>
  <si>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</si>
  <si>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</si>
  <si>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</si>
  <si>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</si>
  <si>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</si>
  <si>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</si>
  <si>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</si>
  <si>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March</t>
  </si>
  <si>
    <t>Loan info</t>
  </si>
  <si>
    <t>Branch ID</t>
  </si>
  <si>
    <t>Submission date</t>
  </si>
  <si>
    <t>2017/9/18</t>
  </si>
  <si>
    <t>Loan terms</t>
  </si>
  <si>
    <t>Expected disbursement date</t>
  </si>
  <si>
    <t>Expected first repayment date</t>
  </si>
  <si>
    <t>2017/10/18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</si>
  <si>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</si>
  <si>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</si>
  <si>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</si>
  <si>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</si>
  <si>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</si>
  <si>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</si>
  <si>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</si>
  <si>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</si>
  <si>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</si>
  <si>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</si>
  <si>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</si>
  <si>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</si>
  <si>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</si>
  <si>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</si>
  <si>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</si>
  <si>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</si>
  <si>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</si>
  <si>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</si>
  <si>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</si>
  <si>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</si>
  <si>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</si>
  <si>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</si>
  <si>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</si>
  <si>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</si>
  <si>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</si>
  <si>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</si>
  <si>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</si>
  <si>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</si>
  <si>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</si>
  <si>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</si>
  <si>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</si>
  <si>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</si>
  <si>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</si>
  <si>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</si>
  <si>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</si>
  <si>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</si>
  <si>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</si>
  <si>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</si>
  <si>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</si>
  <si>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</si>
  <si>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</si>
  <si>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</si>
  <si>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</si>
  <si>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</si>
  <si>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</si>
  <si>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</si>
  <si>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</si>
  <si>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</si>
  <si>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</si>
  <si>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</si>
  <si>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</si>
  <si>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</si>
  <si>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</si>
  <si>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</si>
  <si>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</si>
  <si>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</si>
  <si>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</si>
  <si>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</si>
  <si>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</si>
  <si>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</si>
  <si>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</si>
  <si>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</si>
  <si>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</si>
  <si>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</si>
  <si>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</si>
  <si>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</si>
  <si>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</si>
  <si>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</si>
  <si>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</si>
  <si>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</si>
  <si>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</si>
  <si>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</si>
  <si>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</si>
  <si>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</si>
  <si>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</si>
  <si>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</si>
  <si>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</si>
  <si>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</si>
  <si>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</si>
  <si>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</si>
  <si>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</si>
  <si>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</si>
  <si>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</si>
  <si>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</si>
  <si>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</si>
  <si>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</si>
  <si>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</si>
  <si>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</si>
  <si>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</si>
  <si>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</si>
  <si>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</si>
  <si>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</si>
  <si>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</si>
  <si>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</si>
  <si>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</si>
  <si>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</si>
  <si>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</si>
  <si>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</si>
  <si>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</si>
  <si>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</si>
  <si>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</si>
  <si>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</si>
  <si>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</si>
  <si>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</si>
  <si>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</si>
  <si>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</si>
  <si>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</si>
  <si>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</si>
  <si>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</si>
  <si>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</si>
  <si>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</si>
  <si>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</si>
  <si>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</si>
  <si>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</si>
  <si>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</si>
  <si>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</si>
  <si>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</si>
  <si>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</si>
  <si>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</si>
  <si>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</si>
  <si>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</si>
  <si>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</si>
  <si>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</si>
  <si>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</si>
  <si>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</si>
  <si>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</si>
  <si>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</si>
  <si>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</si>
  <si>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</si>
  <si>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</si>
  <si>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</si>
  <si>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</si>
  <si>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</si>
  <si>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</si>
  <si>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</si>
  <si>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</si>
  <si>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</si>
  <si>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</si>
  <si>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</si>
  <si>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</si>
  <si>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</si>
  <si>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</si>
  <si>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</si>
  <si>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</si>
  <si>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</si>
  <si>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</si>
  <si>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</si>
  <si>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</si>
  <si>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</si>
  <si>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</si>
  <si>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</si>
  <si>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</si>
  <si>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</si>
  <si>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</si>
  <si>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</si>
  <si>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</si>
  <si>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</si>
  <si>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</si>
  <si>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</si>
  <si>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</si>
  <si>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</si>
  <si>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</si>
  <si>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</si>
  <si>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</si>
  <si>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</si>
  <si>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</si>
  <si>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</si>
  <si>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</si>
  <si>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</si>
  <si>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</si>
  <si>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</si>
  <si>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</si>
  <si>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</si>
  <si>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</si>
  <si>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</si>
  <si>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</si>
  <si>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</si>
  <si>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</si>
  <si>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</si>
  <si>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</si>
  <si>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</si>
  <si>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</si>
  <si>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</si>
  <si>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</si>
  <si>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</si>
  <si>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</si>
  <si>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</si>
  <si>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</si>
  <si>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</si>
  <si>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</si>
  <si>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</si>
  <si>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</si>
  <si>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</si>
  <si>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</si>
  <si>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</si>
  <si>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</si>
  <si>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</si>
  <si>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</si>
  <si>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</si>
  <si>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</si>
  <si>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</si>
  <si>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</si>
  <si>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NGO</t>
  </si>
  <si>
    <t>September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</si>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</sst>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bodaboda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>
        <f>IFERROR(Output!B107/Output!B101,"")</f>
        <v>0.07676767676767676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-413613.9169514789</v>
      </c>
    </row>
    <row r="18" spans="1:7">
      <c r="B18" s="1" t="s">
        <v>12</v>
      </c>
      <c r="C18" s="36">
        <f>MIN(Output!B6:M6)</f>
        <v>-740367.2496736353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259632.7503263647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8874.014452596944</v>
      </c>
      <c r="C6" s="51">
        <f>C30-C88</f>
        <v>5787.014452596944</v>
      </c>
      <c r="D6" s="51">
        <f>D30-D88</f>
        <v>6999.014452596944</v>
      </c>
      <c r="E6" s="51">
        <f>E30-E88</f>
        <v>1399.014452596944</v>
      </c>
      <c r="F6" s="51">
        <f>F30-F88</f>
        <v>-740367.2496736353</v>
      </c>
      <c r="G6" s="51">
        <f>G30-G88</f>
        <v>8874.014452596944</v>
      </c>
      <c r="H6" s="51">
        <f>H30-H88</f>
        <v>8874.014452596944</v>
      </c>
      <c r="I6" s="51">
        <f>I30-I88</f>
        <v>5787.014452596944</v>
      </c>
      <c r="J6" s="51">
        <f>J30-J88</f>
        <v>6999.014452596944</v>
      </c>
      <c r="K6" s="51">
        <f>K30-K88</f>
        <v>1399.014452596944</v>
      </c>
      <c r="L6" s="51">
        <f>L30-L88</f>
        <v>259632.7503263647</v>
      </c>
      <c r="M6" s="51">
        <f>M30-M88</f>
        <v>12128.45232241943</v>
      </c>
      <c r="N6" s="51">
        <f>N30-N88</f>
        <v>16061.88427508215</v>
      </c>
      <c r="O6" s="51">
        <f>O30-O88</f>
        <v>12974.88427508215</v>
      </c>
      <c r="P6" s="51">
        <f>P30-P88</f>
        <v>14186.88427508215</v>
      </c>
      <c r="Q6" s="51">
        <f>Q30-Q88</f>
        <v>8586.88427508215</v>
      </c>
      <c r="R6" s="51">
        <f>R30-R88</f>
        <v>266820.6201488499</v>
      </c>
      <c r="S6" s="51">
        <f>S30-S88</f>
        <v>16061.88427508215</v>
      </c>
      <c r="T6" s="51">
        <f>T30-T88</f>
        <v>16061.88427508215</v>
      </c>
      <c r="U6" s="51">
        <f>U30-U88</f>
        <v>12974.88427508215</v>
      </c>
      <c r="V6" s="51">
        <f>V30-V88</f>
        <v>14186.88427508215</v>
      </c>
      <c r="W6" s="51">
        <f>W30-W88</f>
        <v>8586.88427508215</v>
      </c>
      <c r="X6" s="51">
        <f>X30-X88</f>
        <v>266820.6201488499</v>
      </c>
      <c r="Y6" s="51">
        <f>Y30-Y88</f>
        <v>16061.88427508215</v>
      </c>
      <c r="Z6" s="51">
        <f>SUMIF($B$13:$Y$13,"Yes",B6:Y6)</f>
        <v>-397552.0326763968</v>
      </c>
      <c r="AA6" s="51">
        <f>AA30-AA88</f>
        <v>-413613.9169514789</v>
      </c>
      <c r="AB6" s="51">
        <f>AB30-AB88</f>
        <v>255772.1660970412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24142</v>
      </c>
      <c r="I7" s="80">
        <f>IF(ISERROR(VLOOKUP(MONTH(I5),Inputs!$D$66:$D$71,1,0)),"",INDEX(Inputs!$B$66:$B$71,MATCH(MONTH(Output!I5),Inputs!$D$66:$D$71,0))-INDEX(Inputs!$C$66:$C$71,MATCH(MONTH(Output!I5),Inputs!$D$66:$D$71,0)))</f>
        <v>19309</v>
      </c>
      <c r="J7" s="80">
        <f>IF(ISERROR(VLOOKUP(MONTH(J5),Inputs!$D$66:$D$71,1,0)),"",INDEX(Inputs!$B$66:$B$71,MATCH(MONTH(Output!J5),Inputs!$D$66:$D$71,0))-INDEX(Inputs!$C$66:$C$71,MATCH(MONTH(Output!J5),Inputs!$D$66:$D$71,0)))</f>
        <v>16110</v>
      </c>
      <c r="K7" s="80">
        <f>IF(ISERROR(VLOOKUP(MONTH(K5),Inputs!$D$66:$D$71,1,0)),"",INDEX(Inputs!$B$66:$B$71,MATCH(MONTH(Output!K5),Inputs!$D$66:$D$71,0))-INDEX(Inputs!$C$66:$C$71,MATCH(MONTH(Output!K5),Inputs!$D$66:$D$71,0)))</f>
        <v>28515</v>
      </c>
      <c r="L7" s="80">
        <f>IF(ISERROR(VLOOKUP(MONTH(L5),Inputs!$D$66:$D$71,1,0)),"",INDEX(Inputs!$B$66:$B$71,MATCH(MONTH(Output!L5),Inputs!$D$66:$D$71,0))-INDEX(Inputs!$C$66:$C$71,MATCH(MONTH(Output!L5),Inputs!$D$66:$D$71,0)))</f>
        <v>24993</v>
      </c>
      <c r="M7" s="80">
        <f>IF(ISERROR(VLOOKUP(MONTH(M5),Inputs!$D$66:$D$71,1,0)),"",INDEX(Inputs!$B$66:$B$71,MATCH(MONTH(Output!M5),Inputs!$D$66:$D$71,0))-INDEX(Inputs!$C$66:$C$71,MATCH(MONTH(Output!M5),Inputs!$D$66:$D$71,0)))</f>
        <v>27120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24142</v>
      </c>
      <c r="U7" s="80">
        <f>IF(ISERROR(VLOOKUP(MONTH(U5),Inputs!$D$66:$D$71,1,0)),"",INDEX(Inputs!$B$66:$B$71,MATCH(MONTH(Output!U5),Inputs!$D$66:$D$71,0))-INDEX(Inputs!$C$66:$C$71,MATCH(MONTH(Output!U5),Inputs!$D$66:$D$71,0)))</f>
        <v>19309</v>
      </c>
      <c r="V7" s="80">
        <f>IF(ISERROR(VLOOKUP(MONTH(V5),Inputs!$D$66:$D$71,1,0)),"",INDEX(Inputs!$B$66:$B$71,MATCH(MONTH(Output!V5),Inputs!$D$66:$D$71,0))-INDEX(Inputs!$C$66:$C$71,MATCH(MONTH(Output!V5),Inputs!$D$66:$D$71,0)))</f>
        <v>16110</v>
      </c>
      <c r="W7" s="80">
        <f>IF(ISERROR(VLOOKUP(MONTH(W5),Inputs!$D$66:$D$71,1,0)),"",INDEX(Inputs!$B$66:$B$71,MATCH(MONTH(Output!W5),Inputs!$D$66:$D$71,0))-INDEX(Inputs!$C$66:$C$71,MATCH(MONTH(Output!W5),Inputs!$D$66:$D$71,0)))</f>
        <v>28515</v>
      </c>
      <c r="X7" s="80">
        <f>IF(ISERROR(VLOOKUP(MONTH(X5),Inputs!$D$66:$D$71,1,0)),"",INDEX(Inputs!$B$66:$B$71,MATCH(MONTH(Output!X5),Inputs!$D$66:$D$71,0))-INDEX(Inputs!$C$66:$C$71,MATCH(MONTH(Output!X5),Inputs!$D$66:$D$71,0)))</f>
        <v>24993</v>
      </c>
      <c r="Y7" s="80">
        <f>IF(ISERROR(VLOOKUP(MONTH(Y5),Inputs!$D$66:$D$71,1,0)),"",INDEX(Inputs!$B$66:$B$71,MATCH(MONTH(Output!Y5),Inputs!$D$66:$D$71,0))-INDEX(Inputs!$C$66:$C$71,MATCH(MONTH(Output!Y5),Inputs!$D$66:$D$71,0)))</f>
        <v>27120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108874.014452597</v>
      </c>
      <c r="C11" s="80">
        <f>C6+C9-C10</f>
        <v>-4212.985547403056</v>
      </c>
      <c r="D11" s="80">
        <f>D6+D9-D10</f>
        <v>-3000.985547403056</v>
      </c>
      <c r="E11" s="80">
        <f>E6+E9-E10</f>
        <v>-8600.985547403056</v>
      </c>
      <c r="F11" s="80">
        <f>F6+F9-F10</f>
        <v>-750367.2496736353</v>
      </c>
      <c r="G11" s="80">
        <f>G6+G9-G10</f>
        <v>-1125.985547403056</v>
      </c>
      <c r="H11" s="80">
        <f>H6+H9-H10</f>
        <v>-1125.985547403056</v>
      </c>
      <c r="I11" s="80">
        <f>I6+I9-I10</f>
        <v>-4212.985547403056</v>
      </c>
      <c r="J11" s="80">
        <f>J6+J9-J10</f>
        <v>-3000.985547403056</v>
      </c>
      <c r="K11" s="80">
        <f>K6+K9-K10</f>
        <v>-8600.985547403056</v>
      </c>
      <c r="L11" s="80">
        <f>L6+L9-L10</f>
        <v>249632.7503263647</v>
      </c>
      <c r="M11" s="80">
        <f>M6+M9-M10</f>
        <v>2128.452322419427</v>
      </c>
      <c r="N11" s="80">
        <f>N6+N9-N10</f>
        <v>6061.88427508215</v>
      </c>
      <c r="O11" s="80">
        <f>O6+O9-O10</f>
        <v>12974.88427508215</v>
      </c>
      <c r="P11" s="80">
        <f>P6+P9-P10</f>
        <v>14186.88427508215</v>
      </c>
      <c r="Q11" s="80">
        <f>Q6+Q9-Q10</f>
        <v>8586.88427508215</v>
      </c>
      <c r="R11" s="80">
        <f>R6+R9-R10</f>
        <v>266820.6201488499</v>
      </c>
      <c r="S11" s="80">
        <f>S6+S9-S10</f>
        <v>16061.88427508215</v>
      </c>
      <c r="T11" s="80">
        <f>T6+T9-T10</f>
        <v>16061.88427508215</v>
      </c>
      <c r="U11" s="80">
        <f>U6+U9-U10</f>
        <v>12974.88427508215</v>
      </c>
      <c r="V11" s="80">
        <f>V6+V9-V10</f>
        <v>14186.88427508215</v>
      </c>
      <c r="W11" s="80">
        <f>W6+W9-W10</f>
        <v>8586.88427508215</v>
      </c>
      <c r="X11" s="80">
        <f>X6+X9-X10</f>
        <v>266820.6201488499</v>
      </c>
      <c r="Y11" s="80">
        <f>Y6+Y9-Y10</f>
        <v>16061.88427508215</v>
      </c>
      <c r="Z11" s="85">
        <f>SUMIF($B$13:$Y$13,"Yes",B11:Y11)</f>
        <v>-417552.0326763968</v>
      </c>
      <c r="AA11" s="80">
        <f>SUM(B11:M11)</f>
        <v>-423613.9169514789</v>
      </c>
      <c r="AB11" s="46">
        <f>SUM(B11:Y11)</f>
        <v>235772.1660970424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0.08721359031470388</v>
      </c>
      <c r="D12" s="82">
        <f>IF(D13="Yes",IF(SUM($B$10:D10)/(SUM($B$6:D6)+SUM($B$9:D9))&lt;0,999.99,SUM($B$10:D10)/(SUM($B$6:D6)+SUM($B$9:D9))),"")</f>
        <v>0.1643925108688468</v>
      </c>
      <c r="E12" s="82">
        <f>IF(E13="Yes",IF(SUM($B$10:E10)/(SUM($B$6:E6)+SUM($B$9:E9))&lt;0,999.99,SUM($B$10:E10)/(SUM($B$6:E6)+SUM($B$9:E9))),"")</f>
        <v>0.2437853867386559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252633.7358737678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252633.7358737678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252633.7358737678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252633.7358737678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505267.4717475356</v>
      </c>
      <c r="AA18" s="36">
        <f>SUM(B18:M18)</f>
        <v>505267.4717475356</v>
      </c>
      <c r="AB18" s="36">
        <f>SUM(B18:Y18)</f>
        <v>1010534.943495071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31937.5</v>
      </c>
      <c r="C24" s="36">
        <f>IFERROR(Calculations!$P14/12,"")</f>
        <v>31937.5</v>
      </c>
      <c r="D24" s="36">
        <f>IFERROR(Calculations!$P14/12,"")</f>
        <v>31937.5</v>
      </c>
      <c r="E24" s="36">
        <f>IFERROR(Calculations!$P14/12,"")</f>
        <v>31937.5</v>
      </c>
      <c r="F24" s="36">
        <f>IFERROR(Calculations!$P14/12,"")</f>
        <v>31937.5</v>
      </c>
      <c r="G24" s="36">
        <f>IFERROR(Calculations!$P14/12,"")</f>
        <v>31937.5</v>
      </c>
      <c r="H24" s="36">
        <f>IFERROR(Calculations!$P14/12,"")</f>
        <v>31937.5</v>
      </c>
      <c r="I24" s="36">
        <f>IFERROR(Calculations!$P14/12,"")</f>
        <v>31937.5</v>
      </c>
      <c r="J24" s="36">
        <f>IFERROR(Calculations!$P14/12,"")</f>
        <v>31937.5</v>
      </c>
      <c r="K24" s="36">
        <f>IFERROR(Calculations!$P14/12,"")</f>
        <v>31937.5</v>
      </c>
      <c r="L24" s="36">
        <f>IFERROR(Calculations!$P14/12,"")</f>
        <v>31937.5</v>
      </c>
      <c r="M24" s="36">
        <f>IFERROR(Calculations!$P14/12,"")</f>
        <v>31937.5</v>
      </c>
      <c r="N24" s="36">
        <f>IFERROR(Calculations!$P14/12,"")</f>
        <v>31937.5</v>
      </c>
      <c r="O24" s="36">
        <f>IFERROR(Calculations!$P14/12,"")</f>
        <v>31937.5</v>
      </c>
      <c r="P24" s="36">
        <f>IFERROR(Calculations!$P14/12,"")</f>
        <v>31937.5</v>
      </c>
      <c r="Q24" s="36">
        <f>IFERROR(Calculations!$P14/12,"")</f>
        <v>31937.5</v>
      </c>
      <c r="R24" s="36">
        <f>IFERROR(Calculations!$P14/12,"")</f>
        <v>31937.5</v>
      </c>
      <c r="S24" s="36">
        <f>IFERROR(Calculations!$P14/12,"")</f>
        <v>31937.5</v>
      </c>
      <c r="T24" s="36">
        <f>IFERROR(Calculations!$P14/12,"")</f>
        <v>31937.5</v>
      </c>
      <c r="U24" s="36">
        <f>IFERROR(Calculations!$P14/12,"")</f>
        <v>31937.5</v>
      </c>
      <c r="V24" s="36">
        <f>IFERROR(Calculations!$P14/12,"")</f>
        <v>31937.5</v>
      </c>
      <c r="W24" s="36">
        <f>IFERROR(Calculations!$P14/12,"")</f>
        <v>31937.5</v>
      </c>
      <c r="X24" s="36">
        <f>IFERROR(Calculations!$P14/12,"")</f>
        <v>31937.5</v>
      </c>
      <c r="Y24" s="36">
        <f>IFERROR(Calculations!$P14/12,"")</f>
        <v>31937.5</v>
      </c>
      <c r="Z24" s="36">
        <f>SUMIF($B$13:$Y$13,"Yes",B24:Y24)</f>
        <v>415187.4999999999</v>
      </c>
      <c r="AA24" s="36">
        <f>SUM(B24:M24)</f>
        <v>383249.9999999999</v>
      </c>
      <c r="AB24" s="46">
        <f>SUM(B24:Y24)</f>
        <v>766499.9999999999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61937.5</v>
      </c>
      <c r="C30" s="19">
        <f>SUM(C18:C29)</f>
        <v>61937.5</v>
      </c>
      <c r="D30" s="19">
        <f>SUM(D18:D29)</f>
        <v>61937.5</v>
      </c>
      <c r="E30" s="19">
        <f>SUM(E18:E29)</f>
        <v>61937.5</v>
      </c>
      <c r="F30" s="19">
        <f>SUM(F18:F29)</f>
        <v>314571.2358737678</v>
      </c>
      <c r="G30" s="19">
        <f>SUM(G18:G29)</f>
        <v>61937.5</v>
      </c>
      <c r="H30" s="19">
        <f>SUM(H18:H29)</f>
        <v>61937.5</v>
      </c>
      <c r="I30" s="19">
        <f>SUM(I18:I29)</f>
        <v>61937.5</v>
      </c>
      <c r="J30" s="19">
        <f>SUM(J18:J29)</f>
        <v>61937.5</v>
      </c>
      <c r="K30" s="19">
        <f>SUM(K18:K29)</f>
        <v>61937.5</v>
      </c>
      <c r="L30" s="19">
        <f>SUM(L18:L29)</f>
        <v>314571.2358737678</v>
      </c>
      <c r="M30" s="19">
        <f>SUM(M18:M29)</f>
        <v>61937.5</v>
      </c>
      <c r="N30" s="19">
        <f>SUM(N18:N29)</f>
        <v>61937.5</v>
      </c>
      <c r="O30" s="19">
        <f>SUM(O18:O29)</f>
        <v>61937.5</v>
      </c>
      <c r="P30" s="19">
        <f>SUM(P18:P29)</f>
        <v>61937.5</v>
      </c>
      <c r="Q30" s="19">
        <f>SUM(Q18:Q29)</f>
        <v>61937.5</v>
      </c>
      <c r="R30" s="19">
        <f>SUM(R18:R29)</f>
        <v>314571.2358737678</v>
      </c>
      <c r="S30" s="19">
        <f>SUM(S18:S29)</f>
        <v>61937.5</v>
      </c>
      <c r="T30" s="19">
        <f>SUM(T18:T29)</f>
        <v>61937.5</v>
      </c>
      <c r="U30" s="19">
        <f>SUM(U18:U29)</f>
        <v>61937.5</v>
      </c>
      <c r="V30" s="19">
        <f>SUM(V18:V29)</f>
        <v>61937.5</v>
      </c>
      <c r="W30" s="19">
        <f>SUM(W18:W29)</f>
        <v>61937.5</v>
      </c>
      <c r="X30" s="19">
        <f>SUM(X18:X29)</f>
        <v>314571.2358737678</v>
      </c>
      <c r="Y30" s="19">
        <f>SUM(Y18:Y29)</f>
        <v>61937.5</v>
      </c>
      <c r="Z30" s="19">
        <f>SUMIF($B$13:$Y$13,"Yes",B30:Y30)</f>
        <v>1310454.971747536</v>
      </c>
      <c r="AA30" s="19">
        <f>SUM(B30:M30)</f>
        <v>1248517.471747536</v>
      </c>
      <c r="AB30" s="19">
        <f>SUM(B30:Y30)</f>
        <v>2497034.943495071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1212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1212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1212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1212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2424</v>
      </c>
      <c r="AA42" s="36">
        <f>SUM(B42:M42)</f>
        <v>2424</v>
      </c>
      <c r="AB42" s="36">
        <f>SUM(B42:Y42)</f>
        <v>4848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1212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1212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1212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1212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2424</v>
      </c>
      <c r="AA43" s="36">
        <f>SUM(B43:M43)</f>
        <v>2424</v>
      </c>
      <c r="AB43" s="36">
        <f>SUM(B43:Y43)</f>
        <v>4848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5600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5600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5600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5600</v>
      </c>
      <c r="X48" s="46">
        <f>SUM(X49:X53)</f>
        <v>0</v>
      </c>
      <c r="Y48" s="46">
        <f>SUM(Y49:Y53)</f>
        <v>0</v>
      </c>
      <c r="Z48" s="46">
        <f>SUMIF($B$13:$Y$13,"Yes",B48:Y48)</f>
        <v>11200</v>
      </c>
      <c r="AA48" s="46">
        <f>SUM(B48:M48)</f>
        <v>11200</v>
      </c>
      <c r="AB48" s="46">
        <f>SUM(B48:Y48)</f>
        <v>22400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5600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5600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5600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5600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11200</v>
      </c>
      <c r="AA49" s="46">
        <f>SUM(B49:M49)</f>
        <v>11200</v>
      </c>
      <c r="AB49" s="46">
        <f>SUM(B49:Y49)</f>
        <v>22400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1875</v>
      </c>
      <c r="D66" s="36">
        <f>P66</f>
        <v>1875</v>
      </c>
      <c r="E66" s="36">
        <f>Q66</f>
        <v>1875</v>
      </c>
      <c r="F66" s="36">
        <f>R66</f>
        <v>1875</v>
      </c>
      <c r="G66" s="36">
        <f>S66</f>
        <v>0</v>
      </c>
      <c r="H66" s="36">
        <f>T66</f>
        <v>0</v>
      </c>
      <c r="I66" s="36">
        <f>U66</f>
        <v>1875</v>
      </c>
      <c r="J66" s="36">
        <f>V66</f>
        <v>1875</v>
      </c>
      <c r="K66" s="36">
        <f>W66</f>
        <v>1875</v>
      </c>
      <c r="L66" s="36">
        <f>X66</f>
        <v>1875</v>
      </c>
      <c r="M66" s="36">
        <f>Y66</f>
        <v>0</v>
      </c>
      <c r="N66" s="46">
        <f>SUM(N67:N71)</f>
        <v>0</v>
      </c>
      <c r="O66" s="46">
        <f>SUM(O67:O71)</f>
        <v>1875</v>
      </c>
      <c r="P66" s="46">
        <f>SUM(P67:P71)</f>
        <v>1875</v>
      </c>
      <c r="Q66" s="46">
        <f>SUM(Q67:Q71)</f>
        <v>1875</v>
      </c>
      <c r="R66" s="46">
        <f>SUM(R67:R71)</f>
        <v>1875</v>
      </c>
      <c r="S66" s="46">
        <f>SUM(S67:S71)</f>
        <v>0</v>
      </c>
      <c r="T66" s="46">
        <f>SUM(T67:T71)</f>
        <v>0</v>
      </c>
      <c r="U66" s="46">
        <f>SUM(U67:U71)</f>
        <v>1875</v>
      </c>
      <c r="V66" s="46">
        <f>SUM(V67:V71)</f>
        <v>1875</v>
      </c>
      <c r="W66" s="46">
        <f>SUM(W67:W71)</f>
        <v>1875</v>
      </c>
      <c r="X66" s="46">
        <f>SUM(X67:X71)</f>
        <v>1875</v>
      </c>
      <c r="Y66" s="46">
        <f>SUM(Y67:Y71)</f>
        <v>0</v>
      </c>
      <c r="Z66" s="46">
        <f>SUMIF($B$13:$Y$13,"Yes",B66:Y66)</f>
        <v>15000</v>
      </c>
      <c r="AA66" s="46">
        <f>SUM(B66:M66)</f>
        <v>15000</v>
      </c>
      <c r="AB66" s="46">
        <f>SUM(B66:Y66)</f>
        <v>30000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1875</v>
      </c>
      <c r="D67" s="36">
        <f>P67</f>
        <v>1875</v>
      </c>
      <c r="E67" s="36">
        <f>Q67</f>
        <v>1875</v>
      </c>
      <c r="F67" s="36">
        <f>R67</f>
        <v>1875</v>
      </c>
      <c r="G67" s="36">
        <f>S67</f>
        <v>0</v>
      </c>
      <c r="H67" s="36">
        <f>T67</f>
        <v>0</v>
      </c>
      <c r="I67" s="36">
        <f>U67</f>
        <v>1875</v>
      </c>
      <c r="J67" s="36">
        <f>V67</f>
        <v>1875</v>
      </c>
      <c r="K67" s="36">
        <f>W67</f>
        <v>1875</v>
      </c>
      <c r="L67" s="36">
        <f>X67</f>
        <v>1875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1875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1875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1875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1875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1875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1875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1875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1875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15000</v>
      </c>
      <c r="AA67" s="46">
        <f>SUM(B67:M67)</f>
        <v>15000</v>
      </c>
      <c r="AB67" s="46">
        <f>SUM(B67:Y67)</f>
        <v>30000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6000</v>
      </c>
      <c r="C79" s="46">
        <f>Inputs!$B$31</f>
        <v>6000</v>
      </c>
      <c r="D79" s="46">
        <f>Inputs!$B$31</f>
        <v>6000</v>
      </c>
      <c r="E79" s="46">
        <f>Inputs!$B$31</f>
        <v>6000</v>
      </c>
      <c r="F79" s="46">
        <f>Inputs!$B$31</f>
        <v>6000</v>
      </c>
      <c r="G79" s="46">
        <f>Inputs!$B$31</f>
        <v>6000</v>
      </c>
      <c r="H79" s="46">
        <f>Inputs!$B$31</f>
        <v>6000</v>
      </c>
      <c r="I79" s="46">
        <f>Inputs!$B$31</f>
        <v>6000</v>
      </c>
      <c r="J79" s="46">
        <f>Inputs!$B$31</f>
        <v>6000</v>
      </c>
      <c r="K79" s="46">
        <f>Inputs!$B$31</f>
        <v>6000</v>
      </c>
      <c r="L79" s="46">
        <f>Inputs!$B$31</f>
        <v>6000</v>
      </c>
      <c r="M79" s="46">
        <f>Inputs!$B$31</f>
        <v>6000</v>
      </c>
      <c r="N79" s="46">
        <f>Inputs!$B$31</f>
        <v>6000</v>
      </c>
      <c r="O79" s="46">
        <f>Inputs!$B$31</f>
        <v>6000</v>
      </c>
      <c r="P79" s="46">
        <f>Inputs!$B$31</f>
        <v>6000</v>
      </c>
      <c r="Q79" s="46">
        <f>Inputs!$B$31</f>
        <v>6000</v>
      </c>
      <c r="R79" s="46">
        <f>Inputs!$B$31</f>
        <v>6000</v>
      </c>
      <c r="S79" s="46">
        <f>Inputs!$B$31</f>
        <v>6000</v>
      </c>
      <c r="T79" s="46">
        <f>Inputs!$B$31</f>
        <v>6000</v>
      </c>
      <c r="U79" s="46">
        <f>Inputs!$B$31</f>
        <v>6000</v>
      </c>
      <c r="V79" s="46">
        <f>Inputs!$B$31</f>
        <v>6000</v>
      </c>
      <c r="W79" s="46">
        <f>Inputs!$B$31</f>
        <v>6000</v>
      </c>
      <c r="X79" s="46">
        <f>Inputs!$B$31</f>
        <v>6000</v>
      </c>
      <c r="Y79" s="46">
        <f>Inputs!$B$31</f>
        <v>6000</v>
      </c>
      <c r="Z79" s="46">
        <f>SUMIF($B$13:$Y$13,"Yes",B79:Y79)</f>
        <v>78000</v>
      </c>
      <c r="AA79" s="46">
        <f>SUM(B79:M79)</f>
        <v>72000</v>
      </c>
      <c r="AB79" s="46">
        <f>SUM(B79:Y79)</f>
        <v>144000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1000000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1000000</v>
      </c>
      <c r="AA80" s="46">
        <f>SUM(B80:M80)</f>
        <v>1000000</v>
      </c>
      <c r="AB80" s="46">
        <f>SUM(B80:Y80)</f>
        <v>1000000</v>
      </c>
    </row>
    <row r="81" spans="1:30">
      <c r="A81" s="43" t="s">
        <v>51</v>
      </c>
      <c r="B81" s="46">
        <f>(SUM($AA$18:$AA$29)-SUM($AA$36,$AA$42,$AA$48,$AA$54,$AA$60,$AA$66,$AA$72:$AA$79))*Parameters!$B$37/12</f>
        <v>37188.11572491785</v>
      </c>
      <c r="C81" s="46">
        <f>(SUM($AA$18:$AA$29)-SUM($AA$36,$AA$42,$AA$48,$AA$54,$AA$60,$AA$66,$AA$72:$AA$79))*Parameters!$B$37/12</f>
        <v>37188.11572491785</v>
      </c>
      <c r="D81" s="46">
        <f>(SUM($AA$18:$AA$29)-SUM($AA$36,$AA$42,$AA$48,$AA$54,$AA$60,$AA$66,$AA$72:$AA$79))*Parameters!$B$37/12</f>
        <v>37188.11572491785</v>
      </c>
      <c r="E81" s="46">
        <f>(SUM($AA$18:$AA$29)-SUM($AA$36,$AA$42,$AA$48,$AA$54,$AA$60,$AA$66,$AA$72:$AA$79))*Parameters!$B$37/12</f>
        <v>37188.11572491785</v>
      </c>
      <c r="F81" s="46">
        <f>(SUM($AA$18:$AA$29)-SUM($AA$36,$AA$42,$AA$48,$AA$54,$AA$60,$AA$66,$AA$72:$AA$79))*Parameters!$B$37/12</f>
        <v>37188.11572491785</v>
      </c>
      <c r="G81" s="46">
        <f>(SUM($AA$18:$AA$29)-SUM($AA$36,$AA$42,$AA$48,$AA$54,$AA$60,$AA$66,$AA$72:$AA$79))*Parameters!$B$37/12</f>
        <v>37188.11572491785</v>
      </c>
      <c r="H81" s="46">
        <f>(SUM($AA$18:$AA$29)-SUM($AA$36,$AA$42,$AA$48,$AA$54,$AA$60,$AA$66,$AA$72:$AA$79))*Parameters!$B$37/12</f>
        <v>37188.11572491785</v>
      </c>
      <c r="I81" s="46">
        <f>(SUM($AA$18:$AA$29)-SUM($AA$36,$AA$42,$AA$48,$AA$54,$AA$60,$AA$66,$AA$72:$AA$79))*Parameters!$B$37/12</f>
        <v>37188.11572491785</v>
      </c>
      <c r="J81" s="46">
        <f>(SUM($AA$18:$AA$29)-SUM($AA$36,$AA$42,$AA$48,$AA$54,$AA$60,$AA$66,$AA$72:$AA$79))*Parameters!$B$37/12</f>
        <v>37188.11572491785</v>
      </c>
      <c r="K81" s="46">
        <f>(SUM($AA$18:$AA$29)-SUM($AA$36,$AA$42,$AA$48,$AA$54,$AA$60,$AA$66,$AA$72:$AA$79))*Parameters!$B$37/12</f>
        <v>37188.11572491785</v>
      </c>
      <c r="L81" s="46">
        <f>(SUM($AA$18:$AA$29)-SUM($AA$36,$AA$42,$AA$48,$AA$54,$AA$60,$AA$66,$AA$72:$AA$79))*Parameters!$B$37/12</f>
        <v>37188.11572491785</v>
      </c>
      <c r="M81" s="46">
        <f>(SUM($AA$18:$AA$29)-SUM($AA$36,$AA$42,$AA$48,$AA$54,$AA$60,$AA$66,$AA$72:$AA$79))*Parameters!$B$37/12</f>
        <v>37188.11572491785</v>
      </c>
      <c r="N81" s="46">
        <f>(SUM($AA$18:$AA$29)-SUM($AA$36,$AA$42,$AA$48,$AA$54,$AA$60,$AA$66,$AA$72:$AA$79))*Parameters!$B$37/12</f>
        <v>37188.11572491785</v>
      </c>
      <c r="O81" s="46">
        <f>(SUM($AA$18:$AA$29)-SUM($AA$36,$AA$42,$AA$48,$AA$54,$AA$60,$AA$66,$AA$72:$AA$79))*Parameters!$B$37/12</f>
        <v>37188.11572491785</v>
      </c>
      <c r="P81" s="46">
        <f>(SUM($AA$18:$AA$29)-SUM($AA$36,$AA$42,$AA$48,$AA$54,$AA$60,$AA$66,$AA$72:$AA$79))*Parameters!$B$37/12</f>
        <v>37188.11572491785</v>
      </c>
      <c r="Q81" s="46">
        <f>(SUM($AA$18:$AA$29)-SUM($AA$36,$AA$42,$AA$48,$AA$54,$AA$60,$AA$66,$AA$72:$AA$79))*Parameters!$B$37/12</f>
        <v>37188.11572491785</v>
      </c>
      <c r="R81" s="46">
        <f>(SUM($AA$18:$AA$29)-SUM($AA$36,$AA$42,$AA$48,$AA$54,$AA$60,$AA$66,$AA$72:$AA$79))*Parameters!$B$37/12</f>
        <v>37188.11572491785</v>
      </c>
      <c r="S81" s="46">
        <f>(SUM($AA$18:$AA$29)-SUM($AA$36,$AA$42,$AA$48,$AA$54,$AA$60,$AA$66,$AA$72:$AA$79))*Parameters!$B$37/12</f>
        <v>37188.11572491785</v>
      </c>
      <c r="T81" s="46">
        <f>(SUM($AA$18:$AA$29)-SUM($AA$36,$AA$42,$AA$48,$AA$54,$AA$60,$AA$66,$AA$72:$AA$79))*Parameters!$B$37/12</f>
        <v>37188.11572491785</v>
      </c>
      <c r="U81" s="46">
        <f>(SUM($AA$18:$AA$29)-SUM($AA$36,$AA$42,$AA$48,$AA$54,$AA$60,$AA$66,$AA$72:$AA$79))*Parameters!$B$37/12</f>
        <v>37188.11572491785</v>
      </c>
      <c r="V81" s="46">
        <f>(SUM($AA$18:$AA$29)-SUM($AA$36,$AA$42,$AA$48,$AA$54,$AA$60,$AA$66,$AA$72:$AA$79))*Parameters!$B$37/12</f>
        <v>37188.11572491785</v>
      </c>
      <c r="W81" s="46">
        <f>(SUM($AA$18:$AA$29)-SUM($AA$36,$AA$42,$AA$48,$AA$54,$AA$60,$AA$66,$AA$72:$AA$79))*Parameters!$B$37/12</f>
        <v>37188.11572491785</v>
      </c>
      <c r="X81" s="46">
        <f>(SUM($AA$18:$AA$29)-SUM($AA$36,$AA$42,$AA$48,$AA$54,$AA$60,$AA$66,$AA$72:$AA$79))*Parameters!$B$37/12</f>
        <v>37188.11572491785</v>
      </c>
      <c r="Y81" s="46">
        <f>(SUM($AA$18:$AA$29)-SUM($AA$36,$AA$42,$AA$48,$AA$54,$AA$60,$AA$66,$AA$72:$AA$79))*Parameters!$B$37/12</f>
        <v>37188.11572491785</v>
      </c>
      <c r="Z81" s="46">
        <f>SUMIF($B$13:$Y$13,"Yes",B81:Y81)</f>
        <v>483445.5044239321</v>
      </c>
      <c r="AA81" s="46">
        <f>SUM(B81:M81)</f>
        <v>446257.3886990142</v>
      </c>
      <c r="AB81" s="46">
        <f>SUM(B81:Y81)</f>
        <v>892514.7773980284</v>
      </c>
    </row>
    <row r="82" spans="1:30">
      <c r="A82" s="16" t="s">
        <v>52</v>
      </c>
      <c r="B82" s="46">
        <f>SUM(B83:B87)</f>
        <v>7187.869822485207</v>
      </c>
      <c r="C82" s="46">
        <f>SUM(C83:C87)</f>
        <v>7187.869822485207</v>
      </c>
      <c r="D82" s="46">
        <f>SUM(D83:D87)</f>
        <v>7187.869822485207</v>
      </c>
      <c r="E82" s="46">
        <f>SUM(E83:E87)</f>
        <v>7187.869822485207</v>
      </c>
      <c r="F82" s="46">
        <f>SUM(F83:F87)</f>
        <v>7187.869822485207</v>
      </c>
      <c r="G82" s="46">
        <f>SUM(G83:G87)</f>
        <v>7187.869822485207</v>
      </c>
      <c r="H82" s="46">
        <f>SUM(H83:H87)</f>
        <v>7187.869822485207</v>
      </c>
      <c r="I82" s="46">
        <f>SUM(I83:I87)</f>
        <v>7187.869822485207</v>
      </c>
      <c r="J82" s="46">
        <f>SUM(J83:J87)</f>
        <v>7187.869822485207</v>
      </c>
      <c r="K82" s="46">
        <f>SUM(K83:K87)</f>
        <v>7187.869822485207</v>
      </c>
      <c r="L82" s="46">
        <f>SUM(L83:L87)</f>
        <v>7187.869822485207</v>
      </c>
      <c r="M82" s="46">
        <f>SUM(M83:M87)</f>
        <v>3933.431952662722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83000</v>
      </c>
      <c r="AA82" s="46">
        <f>SUM(B82:M82)</f>
        <v>83000</v>
      </c>
      <c r="AB82" s="46">
        <f>SUM(B82:Y82)</f>
        <v>83000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7187.869822485207</v>
      </c>
      <c r="C83" s="46">
        <f>IF(Calculations!$E23&gt;COUNT(Output!$B$35:C$35),Calculations!$B23,IF(Calculations!$E23=COUNT(Output!$B$35:C$35),Inputs!$B56-Calculations!$C23*(Calculations!$E23-1)+Calculations!$D23,0))</f>
        <v>7187.869822485207</v>
      </c>
      <c r="D83" s="46">
        <f>IF(Calculations!$E23&gt;COUNT(Output!$B$35:D$35),Calculations!$B23,IF(Calculations!$E23=COUNT(Output!$B$35:D$35),Inputs!$B56-Calculations!$C23*(Calculations!$E23-1)+Calculations!$D23,0))</f>
        <v>7187.869822485207</v>
      </c>
      <c r="E83" s="46">
        <f>IF(Calculations!$E23&gt;COUNT(Output!$B$35:E$35),Calculations!$B23,IF(Calculations!$E23=COUNT(Output!$B$35:E$35),Inputs!$B56-Calculations!$C23*(Calculations!$E23-1)+Calculations!$D23,0))</f>
        <v>7187.869822485207</v>
      </c>
      <c r="F83" s="46">
        <f>IF(Calculations!$E23&gt;COUNT(Output!$B$35:F$35),Calculations!$B23,IF(Calculations!$E23=COUNT(Output!$B$35:F$35),Inputs!$B56-Calculations!$C23*(Calculations!$E23-1)+Calculations!$D23,0))</f>
        <v>7187.869822485207</v>
      </c>
      <c r="G83" s="46">
        <f>IF(Calculations!$E23&gt;COUNT(Output!$B$35:G$35),Calculations!$B23,IF(Calculations!$E23=COUNT(Output!$B$35:G$35),Inputs!$B56-Calculations!$C23*(Calculations!$E23-1)+Calculations!$D23,0))</f>
        <v>7187.869822485207</v>
      </c>
      <c r="H83" s="46">
        <f>IF(Calculations!$E23&gt;COUNT(Output!$B$35:H$35),Calculations!$B23,IF(Calculations!$E23=COUNT(Output!$B$35:H$35),Inputs!$B56-Calculations!$C23*(Calculations!$E23-1)+Calculations!$D23,0))</f>
        <v>7187.869822485207</v>
      </c>
      <c r="I83" s="46">
        <f>IF(Calculations!$E23&gt;COUNT(Output!$B$35:I$35),Calculations!$B23,IF(Calculations!$E23=COUNT(Output!$B$35:I$35),Inputs!$B56-Calculations!$C23*(Calculations!$E23-1)+Calculations!$D23,0))</f>
        <v>7187.869822485207</v>
      </c>
      <c r="J83" s="46">
        <f>IF(Calculations!$E23&gt;COUNT(Output!$B$35:J$35),Calculations!$B23,IF(Calculations!$E23=COUNT(Output!$B$35:J$35),Inputs!$B56-Calculations!$C23*(Calculations!$E23-1)+Calculations!$D23,0))</f>
        <v>7187.869822485207</v>
      </c>
      <c r="K83" s="46">
        <f>IF(Calculations!$E23&gt;COUNT(Output!$B$35:K$35),Calculations!$B23,IF(Calculations!$E23=COUNT(Output!$B$35:K$35),Inputs!$B56-Calculations!$C23*(Calculations!$E23-1)+Calculations!$D23,0))</f>
        <v>7187.869822485207</v>
      </c>
      <c r="L83" s="46">
        <f>IF(Calculations!$E23&gt;COUNT(Output!$B$35:L$35),Calculations!$B23,IF(Calculations!$E23=COUNT(Output!$B$35:L$35),Inputs!$B56-Calculations!$C23*(Calculations!$E23-1)+Calculations!$D23,0))</f>
        <v>7187.869822485207</v>
      </c>
      <c r="M83" s="46">
        <f>IF(Calculations!$E23&gt;COUNT(Output!$B$35:M$35),Calculations!$B23,IF(Calculations!$E23=COUNT(Output!$B$35:M$35),Inputs!$B56-Calculations!$C23*(Calculations!$E23-1)+Calculations!$D23,0))</f>
        <v>3933.431952662722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83000</v>
      </c>
      <c r="AA83" s="46">
        <f>SUM(B83:M83)</f>
        <v>83000</v>
      </c>
      <c r="AB83" s="46">
        <f>SUM(B83:Y83)</f>
        <v>83000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53063.48554740306</v>
      </c>
      <c r="C88" s="19">
        <f>SUM(C72:C82,C66,C60,C54,C48,C42,C36)</f>
        <v>56150.48554740306</v>
      </c>
      <c r="D88" s="19">
        <f>SUM(D72:D82,D66,D60,D54,D48,D42,D36)</f>
        <v>54938.48554740306</v>
      </c>
      <c r="E88" s="19">
        <f>SUM(E72:E82,E66,E60,E54,E48,E42,E36)</f>
        <v>60538.48554740306</v>
      </c>
      <c r="F88" s="19">
        <f>SUM(F72:F82,F66,F60,F54,F48,F42,F36)</f>
        <v>1054938.485547403</v>
      </c>
      <c r="G88" s="19">
        <f>SUM(G72:G82,G66,G60,G54,G48,G42,G36)</f>
        <v>53063.48554740306</v>
      </c>
      <c r="H88" s="19">
        <f>SUM(H72:H82,H66,H60,H54,H48,H42,H36)</f>
        <v>53063.48554740306</v>
      </c>
      <c r="I88" s="19">
        <f>SUM(I72:I82,I66,I60,I54,I48,I42,I36)</f>
        <v>56150.48554740306</v>
      </c>
      <c r="J88" s="19">
        <f>SUM(J72:J82,J66,J60,J54,J48,J42,J36)</f>
        <v>54938.48554740306</v>
      </c>
      <c r="K88" s="19">
        <f>SUM(K72:K82,K66,K60,K54,K48,K42,K36)</f>
        <v>60538.48554740306</v>
      </c>
      <c r="L88" s="19">
        <f>SUM(L72:L82,L66,L60,L54,L48,L42,L36)</f>
        <v>54938.48554740306</v>
      </c>
      <c r="M88" s="19">
        <f>SUM(M72:M82,M66,M60,M54,M48,M42,M36)</f>
        <v>49809.04767758057</v>
      </c>
      <c r="N88" s="19">
        <f>SUM(N72:N82,N66,N60,N54,N48,N42,N36)</f>
        <v>45875.61572491785</v>
      </c>
      <c r="O88" s="19">
        <f>SUM(O72:O82,O66,O60,O54,O48,O42,O36)</f>
        <v>48962.61572491785</v>
      </c>
      <c r="P88" s="19">
        <f>SUM(P72:P82,P66,P60,P54,P48,P42,P36)</f>
        <v>47750.61572491785</v>
      </c>
      <c r="Q88" s="19">
        <f>SUM(Q72:Q82,Q66,Q60,Q54,Q48,Q42,Q36)</f>
        <v>53350.61572491785</v>
      </c>
      <c r="R88" s="19">
        <f>SUM(R72:R82,R66,R60,R54,R48,R42,R36)</f>
        <v>47750.61572491785</v>
      </c>
      <c r="S88" s="19">
        <f>SUM(S72:S82,S66,S60,S54,S48,S42,S36)</f>
        <v>45875.61572491785</v>
      </c>
      <c r="T88" s="19">
        <f>SUM(T72:T82,T66,T60,T54,T48,T42,T36)</f>
        <v>45875.61572491785</v>
      </c>
      <c r="U88" s="19">
        <f>SUM(U72:U82,U66,U60,U54,U48,U42,U36)</f>
        <v>48962.61572491785</v>
      </c>
      <c r="V88" s="19">
        <f>SUM(V72:V82,V66,V60,V54,V48,V42,V36)</f>
        <v>47750.61572491785</v>
      </c>
      <c r="W88" s="19">
        <f>SUM(W72:W82,W66,W60,W54,W48,W42,W36)</f>
        <v>53350.61572491785</v>
      </c>
      <c r="X88" s="19">
        <f>SUM(X72:X82,X66,X60,X54,X48,X42,X36)</f>
        <v>47750.61572491785</v>
      </c>
      <c r="Y88" s="19">
        <f>SUM(Y72:Y82,Y66,Y60,Y54,Y48,Y42,Y36)</f>
        <v>45875.61572491785</v>
      </c>
      <c r="Z88" s="19">
        <f>SUMIF($B$13:$Y$13,"Yes",B88:Y88)</f>
        <v>1708007.004423932</v>
      </c>
      <c r="AA88" s="19">
        <f>SUM(B88:M88)</f>
        <v>1662131.388699014</v>
      </c>
      <c r="AB88" s="19">
        <f>SUM(B88:Y88)</f>
        <v>2241262.77739803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130000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1980000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50000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2</v>
      </c>
      <c r="D19" s="145">
        <v>2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30000</v>
      </c>
    </row>
    <row r="31" spans="1:48">
      <c r="A31" s="5" t="s">
        <v>116</v>
      </c>
      <c r="B31" s="158">
        <v>6000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 t="s">
        <v>122</v>
      </c>
      <c r="B35" s="159">
        <v>1000000</v>
      </c>
      <c r="C35" s="145" t="s">
        <v>123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600000</v>
      </c>
    </row>
    <row r="46" spans="1:48" customHeight="1" ht="30">
      <c r="A46" s="57" t="s">
        <v>132</v>
      </c>
      <c r="B46" s="161">
        <v>100000</v>
      </c>
    </row>
    <row r="47" spans="1:48" customHeight="1" ht="30">
      <c r="A47" s="57" t="s">
        <v>133</v>
      </c>
      <c r="B47" s="161">
        <v>130000</v>
      </c>
    </row>
    <row r="48" spans="1:48" customHeight="1" ht="30">
      <c r="A48" s="57" t="s">
        <v>134</v>
      </c>
      <c r="B48" s="161">
        <v>0</v>
      </c>
    </row>
    <row r="49" spans="1:48" customHeight="1" ht="30">
      <c r="A49" s="57" t="s">
        <v>135</v>
      </c>
      <c r="B49" s="161">
        <v>50000</v>
      </c>
    </row>
    <row r="50" spans="1:48">
      <c r="A50" s="43"/>
      <c r="B50" s="36"/>
    </row>
    <row r="51" spans="1:48">
      <c r="A51" s="58" t="s">
        <v>136</v>
      </c>
      <c r="B51" s="161">
        <v>2000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150000</v>
      </c>
      <c r="B56" s="159">
        <v>50000</v>
      </c>
      <c r="C56" s="162" t="s">
        <v>144</v>
      </c>
      <c r="D56" s="163" t="s">
        <v>145</v>
      </c>
      <c r="E56" s="163" t="s">
        <v>92</v>
      </c>
      <c r="F56" s="163" t="s">
        <v>146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148</v>
      </c>
      <c r="C65" s="10" t="s">
        <v>149</v>
      </c>
    </row>
    <row r="66" spans="1:48">
      <c r="A66" s="142" t="s">
        <v>150</v>
      </c>
      <c r="B66" s="159">
        <v>78963</v>
      </c>
      <c r="C66" s="163">
        <v>51843</v>
      </c>
      <c r="D66" s="49">
        <f>INDEX(Parameters!$D$79:$D$90,MATCH(Inputs!A66,Parameters!$C$79:$C$90,0))</f>
        <v>8</v>
      </c>
    </row>
    <row r="67" spans="1:48">
      <c r="A67" s="143" t="s">
        <v>151</v>
      </c>
      <c r="B67" s="157">
        <v>94856</v>
      </c>
      <c r="C67" s="165">
        <v>69863</v>
      </c>
      <c r="D67" s="49">
        <f>INDEX(Parameters!$D$79:$D$90,MATCH(Inputs!A67,Parameters!$C$79:$C$90,0))</f>
        <v>7</v>
      </c>
    </row>
    <row r="68" spans="1:48">
      <c r="A68" s="143" t="s">
        <v>152</v>
      </c>
      <c r="B68" s="157">
        <v>98630</v>
      </c>
      <c r="C68" s="165">
        <v>70115</v>
      </c>
      <c r="D68" s="49">
        <f>INDEX(Parameters!$D$79:$D$90,MATCH(Inputs!A68,Parameters!$C$79:$C$90,0))</f>
        <v>6</v>
      </c>
    </row>
    <row r="69" spans="1:48">
      <c r="A69" s="143" t="s">
        <v>153</v>
      </c>
      <c r="B69" s="157">
        <v>105899</v>
      </c>
      <c r="C69" s="165">
        <v>89789</v>
      </c>
      <c r="D69" s="49">
        <f>INDEX(Parameters!$D$79:$D$90,MATCH(Inputs!A69,Parameters!$C$79:$C$90,0))</f>
        <v>5</v>
      </c>
    </row>
    <row r="70" spans="1:48">
      <c r="A70" s="143" t="s">
        <v>154</v>
      </c>
      <c r="B70" s="157">
        <v>58960</v>
      </c>
      <c r="C70" s="165">
        <v>39651</v>
      </c>
      <c r="D70" s="49">
        <f>INDEX(Parameters!$D$79:$D$90,MATCH(Inputs!A70,Parameters!$C$79:$C$90,0))</f>
        <v>4</v>
      </c>
    </row>
    <row r="71" spans="1:48">
      <c r="A71" s="144" t="s">
        <v>155</v>
      </c>
      <c r="B71" s="158">
        <v>89578</v>
      </c>
      <c r="C71" s="167">
        <v>65436</v>
      </c>
      <c r="D71" s="49">
        <f>INDEX(Parameters!$D$79:$D$90,MATCH(Inputs!A71,Parameters!$C$79:$C$90,0))</f>
        <v>3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14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43101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43282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18045.26684812627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505267.4717475356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1212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5600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15000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9</v>
      </c>
      <c r="AD5" s="22">
        <f>IF($A5=0,1/12,IFERROR(INDEX(Parameters!$X$2:$AI$17,MATCH(Calculations!$A5,Parameters!$A$2:$A$17,0),MONTH(Calculations!AD$3)),1/12))</f>
        <v>10</v>
      </c>
      <c r="AE5" s="22">
        <f>IF($A5=0,1/12,IFERROR(INDEX(Parameters!$X$2:$AI$17,MATCH(Calculations!$A5,Parameters!$A$2:$A$17,0),MONTH(Calculations!AE$3)),1/12))</f>
        <v>11</v>
      </c>
      <c r="AF5" s="22">
        <f>IF($A5=0,1/12,IFERROR(INDEX(Parameters!$X$2:$AI$17,MATCH(Calculations!$A5,Parameters!$A$2:$A$17,0),MONTH(Calculations!AF$3)),1/12))</f>
        <v>12</v>
      </c>
      <c r="AG5" s="22">
        <f>IF($A5=0,1/12,IFERROR(INDEX(Parameters!$X$2:$AI$17,MATCH(Calculations!$A5,Parameters!$A$2:$A$17,0),MONTH(Calculations!AG$3)),1/12))</f>
        <v>1</v>
      </c>
      <c r="AH5" s="22">
        <f>IF($A5=0,1/12,IFERROR(INDEX(Parameters!$X$2:$AI$17,MATCH(Calculations!$A5,Parameters!$A$2:$A$17,0),MONTH(Calculations!AH$3)),1/12))</f>
        <v>2</v>
      </c>
      <c r="AI5" s="22">
        <f>IF($A5=0,1/12,IFERROR(INDEX(Parameters!$X$2:$AI$17,MATCH(Calculations!$A5,Parameters!$A$2:$A$17,0),MONTH(Calculations!AI$3)),1/12))</f>
        <v>3</v>
      </c>
      <c r="AJ5" s="22">
        <f>IF($A5=0,1/12,IFERROR(INDEX(Parameters!$X$2:$AI$17,MATCH(Calculations!$A5,Parameters!$A$2:$A$17,0),MONTH(Calculations!AJ$3)),1/12))</f>
        <v>4</v>
      </c>
      <c r="AK5" s="22">
        <f>IF($A5=0,1/12,IFERROR(INDEX(Parameters!$X$2:$AI$17,MATCH(Calculations!$A5,Parameters!$A$2:$A$17,0),MONTH(Calculations!AK$3)),1/12))</f>
        <v>5</v>
      </c>
      <c r="AL5" s="22">
        <f>IF($A5=0,1/12,IFERROR(INDEX(Parameters!$X$2:$AI$17,MATCH(Calculations!$A5,Parameters!$A$2:$A$17,0),MONTH(Calculations!AL$3)),1/12))</f>
        <v>6</v>
      </c>
      <c r="AM5" s="22">
        <f>IF($A5=0,1/12,IFERROR(INDEX(Parameters!$X$2:$AI$17,MATCH(Calculations!$A5,Parameters!$A$2:$A$17,0),MONTH(Calculations!AM$3)),1/12))</f>
        <v>7</v>
      </c>
      <c r="AN5" s="22">
        <f>IF($A5=0,1/12,IFERROR(INDEX(Parameters!$X$2:$AI$17,MATCH(Calculations!$A5,Parameters!$A$2:$A$17,0),MONTH(Calculations!AN$3)),1/12))</f>
        <v>8</v>
      </c>
      <c r="AO5" s="22">
        <f>IF($A5=0,1/12,IFERROR(INDEX(Parameters!$X$2:$AI$17,MATCH(Calculations!$A5,Parameters!$A$2:$A$17,0),MONTH(Calculations!AO$3)),1/12))</f>
        <v>9</v>
      </c>
      <c r="AP5" s="22">
        <f>IF($A5=0,1/12,IFERROR(INDEX(Parameters!$X$2:$AI$17,MATCH(Calculations!$A5,Parameters!$A$2:$A$17,0),MONTH(Calculations!AP$3)),1/12))</f>
        <v>10</v>
      </c>
      <c r="AQ5" s="22">
        <f>IF($A5=0,1/12,IFERROR(INDEX(Parameters!$X$2:$AI$17,MATCH(Calculations!$A5,Parameters!$A$2:$A$17,0),MONTH(Calculations!AQ$3)),1/12))</f>
        <v>11</v>
      </c>
      <c r="AR5" s="22">
        <f>IF($A5=0,1/12,IFERROR(INDEX(Parameters!$X$2:$AI$17,MATCH(Calculations!$A5,Parameters!$A$2:$A$17,0),MONTH(Calculations!AR$3)),1/12))</f>
        <v>12</v>
      </c>
      <c r="AS5" s="22">
        <f>IF($A5=0,1/12,IFERROR(INDEX(Parameters!$X$2:$AI$17,MATCH(Calculations!$A5,Parameters!$A$2:$A$17,0),MONTH(Calculations!AS$3)),1/12))</f>
        <v>1</v>
      </c>
      <c r="AT5" s="22">
        <f>IF($A5=0,1/12,IFERROR(INDEX(Parameters!$X$2:$AI$17,MATCH(Calculations!$A5,Parameters!$A$2:$A$17,0),MONTH(Calculations!AT$3)),1/12))</f>
        <v>2</v>
      </c>
      <c r="AU5" s="22">
        <f>IF($A5=0,1/12,IFERROR(INDEX(Parameters!$X$2:$AI$17,MATCH(Calculations!$A5,Parameters!$A$2:$A$17,0),MONTH(Calculations!AU$3)),1/12))</f>
        <v>3</v>
      </c>
      <c r="AV5" s="22">
        <f>IF($A5=0,1/12,IFERROR(INDEX(Parameters!$X$2:$AI$17,MATCH(Calculations!$A5,Parameters!$A$2:$A$17,0),MONTH(Calculations!AV$3)),1/12))</f>
        <v>4</v>
      </c>
      <c r="AW5" s="22">
        <f>IF($A5=0,1/12,IFERROR(INDEX(Parameters!$X$2:$AI$17,MATCH(Calculations!$A5,Parameters!$A$2:$A$17,0),MONTH(Calculations!AW$3)),1/12))</f>
        <v>5</v>
      </c>
      <c r="AX5" s="22">
        <f>IF($A5=0,1/12,IFERROR(INDEX(Parameters!$X$2:$AI$17,MATCH(Calculations!$A5,Parameters!$A$2:$A$17,0),MONTH(Calculations!AX$3)),1/12))</f>
        <v>6</v>
      </c>
      <c r="AY5" s="22">
        <f>IF($A5=0,1/12,IFERROR(INDEX(Parameters!$X$2:$AI$17,MATCH(Calculations!$A5,Parameters!$A$2:$A$17,0),MONTH(Calculations!AY$3)),1/12))</f>
        <v>7</v>
      </c>
      <c r="AZ5" s="22">
        <f>IF($A5=0,1/12,IFERROR(INDEX(Parameters!$X$2:$AI$17,MATCH(Calculations!$A5,Parameters!$A$2:$A$17,0),MONTH(Calculations!AZ$3)),1/12))</f>
        <v>8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9</v>
      </c>
      <c r="AD6" s="22">
        <f>IF($A6=0,1/12,IFERROR(INDEX(Parameters!$X$2:$AI$17,MATCH(Calculations!$A6,Parameters!$A$2:$A$17,0),MONTH(Calculations!AD$3)),1/12))</f>
        <v>10</v>
      </c>
      <c r="AE6" s="22">
        <f>IF($A6=0,1/12,IFERROR(INDEX(Parameters!$X$2:$AI$17,MATCH(Calculations!$A6,Parameters!$A$2:$A$17,0),MONTH(Calculations!AE$3)),1/12))</f>
        <v>11</v>
      </c>
      <c r="AF6" s="22">
        <f>IF($A6=0,1/12,IFERROR(INDEX(Parameters!$X$2:$AI$17,MATCH(Calculations!$A6,Parameters!$A$2:$A$17,0),MONTH(Calculations!AF$3)),1/12))</f>
        <v>12</v>
      </c>
      <c r="AG6" s="22">
        <f>IF($A6=0,1/12,IFERROR(INDEX(Parameters!$X$2:$AI$17,MATCH(Calculations!$A6,Parameters!$A$2:$A$17,0),MONTH(Calculations!AG$3)),1/12))</f>
        <v>1</v>
      </c>
      <c r="AH6" s="22">
        <f>IF($A6=0,1/12,IFERROR(INDEX(Parameters!$X$2:$AI$17,MATCH(Calculations!$A6,Parameters!$A$2:$A$17,0),MONTH(Calculations!AH$3)),1/12))</f>
        <v>2</v>
      </c>
      <c r="AI6" s="22">
        <f>IF($A6=0,1/12,IFERROR(INDEX(Parameters!$X$2:$AI$17,MATCH(Calculations!$A6,Parameters!$A$2:$A$17,0),MONTH(Calculations!AI$3)),1/12))</f>
        <v>3</v>
      </c>
      <c r="AJ6" s="22">
        <f>IF($A6=0,1/12,IFERROR(INDEX(Parameters!$X$2:$AI$17,MATCH(Calculations!$A6,Parameters!$A$2:$A$17,0),MONTH(Calculations!AJ$3)),1/12))</f>
        <v>4</v>
      </c>
      <c r="AK6" s="22">
        <f>IF($A6=0,1/12,IFERROR(INDEX(Parameters!$X$2:$AI$17,MATCH(Calculations!$A6,Parameters!$A$2:$A$17,0),MONTH(Calculations!AK$3)),1/12))</f>
        <v>5</v>
      </c>
      <c r="AL6" s="22">
        <f>IF($A6=0,1/12,IFERROR(INDEX(Parameters!$X$2:$AI$17,MATCH(Calculations!$A6,Parameters!$A$2:$A$17,0),MONTH(Calculations!AL$3)),1/12))</f>
        <v>6</v>
      </c>
      <c r="AM6" s="22">
        <f>IF($A6=0,1/12,IFERROR(INDEX(Parameters!$X$2:$AI$17,MATCH(Calculations!$A6,Parameters!$A$2:$A$17,0),MONTH(Calculations!AM$3)),1/12))</f>
        <v>7</v>
      </c>
      <c r="AN6" s="22">
        <f>IF($A6=0,1/12,IFERROR(INDEX(Parameters!$X$2:$AI$17,MATCH(Calculations!$A6,Parameters!$A$2:$A$17,0),MONTH(Calculations!AN$3)),1/12))</f>
        <v>8</v>
      </c>
      <c r="AO6" s="22">
        <f>IF($A6=0,1/12,IFERROR(INDEX(Parameters!$X$2:$AI$17,MATCH(Calculations!$A6,Parameters!$A$2:$A$17,0),MONTH(Calculations!AO$3)),1/12))</f>
        <v>9</v>
      </c>
      <c r="AP6" s="22">
        <f>IF($A6=0,1/12,IFERROR(INDEX(Parameters!$X$2:$AI$17,MATCH(Calculations!$A6,Parameters!$A$2:$A$17,0),MONTH(Calculations!AP$3)),1/12))</f>
        <v>10</v>
      </c>
      <c r="AQ6" s="22">
        <f>IF($A6=0,1/12,IFERROR(INDEX(Parameters!$X$2:$AI$17,MATCH(Calculations!$A6,Parameters!$A$2:$A$17,0),MONTH(Calculations!AQ$3)),1/12))</f>
        <v>11</v>
      </c>
      <c r="AR6" s="22">
        <f>IF($A6=0,1/12,IFERROR(INDEX(Parameters!$X$2:$AI$17,MATCH(Calculations!$A6,Parameters!$A$2:$A$17,0),MONTH(Calculations!AR$3)),1/12))</f>
        <v>12</v>
      </c>
      <c r="AS6" s="22">
        <f>IF($A6=0,1/12,IFERROR(INDEX(Parameters!$X$2:$AI$17,MATCH(Calculations!$A6,Parameters!$A$2:$A$17,0),MONTH(Calculations!AS$3)),1/12))</f>
        <v>1</v>
      </c>
      <c r="AT6" s="22">
        <f>IF($A6=0,1/12,IFERROR(INDEX(Parameters!$X$2:$AI$17,MATCH(Calculations!$A6,Parameters!$A$2:$A$17,0),MONTH(Calculations!AT$3)),1/12))</f>
        <v>2</v>
      </c>
      <c r="AU6" s="22">
        <f>IF($A6=0,1/12,IFERROR(INDEX(Parameters!$X$2:$AI$17,MATCH(Calculations!$A6,Parameters!$A$2:$A$17,0),MONTH(Calculations!AU$3)),1/12))</f>
        <v>3</v>
      </c>
      <c r="AV6" s="22">
        <f>IF($A6=0,1/12,IFERROR(INDEX(Parameters!$X$2:$AI$17,MATCH(Calculations!$A6,Parameters!$A$2:$A$17,0),MONTH(Calculations!AV$3)),1/12))</f>
        <v>4</v>
      </c>
      <c r="AW6" s="22">
        <f>IF($A6=0,1/12,IFERROR(INDEX(Parameters!$X$2:$AI$17,MATCH(Calculations!$A6,Parameters!$A$2:$A$17,0),MONTH(Calculations!AW$3)),1/12))</f>
        <v>5</v>
      </c>
      <c r="AX6" s="22">
        <f>IF($A6=0,1/12,IFERROR(INDEX(Parameters!$X$2:$AI$17,MATCH(Calculations!$A6,Parameters!$A$2:$A$17,0),MONTH(Calculations!AX$3)),1/12))</f>
        <v>6</v>
      </c>
      <c r="AY6" s="22">
        <f>IF($A6=0,1/12,IFERROR(INDEX(Parameters!$X$2:$AI$17,MATCH(Calculations!$A6,Parameters!$A$2:$A$17,0),MONTH(Calculations!AY$3)),1/12))</f>
        <v>7</v>
      </c>
      <c r="AZ6" s="22">
        <f>IF($A6=0,1/12,IFERROR(INDEX(Parameters!$X$2:$AI$17,MATCH(Calculations!$A6,Parameters!$A$2:$A$17,0),MONTH(Calculations!AZ$3)),1/12))</f>
        <v>8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383249.9999999999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150000</v>
      </c>
      <c r="B23" s="75">
        <f>SUM(C23:D23)</f>
        <v>7187.869822485207</v>
      </c>
      <c r="C23" s="75">
        <f>IF(Inputs!B56&gt;0,(Inputs!A56-Inputs!B56)/(DATE(YEAR(Inputs!$B$76),MONTH(Inputs!$B$76),DAY(Inputs!$B$76))-DATE(YEAR(Inputs!C56),MONTH(Inputs!C56),DAY(Inputs!C56)))*30,0)</f>
        <v>4437.869822485207</v>
      </c>
      <c r="D23" s="75">
        <f>IF(Inputs!B56&gt;0,Inputs!A56*0.22/12,0)</f>
        <v>2750</v>
      </c>
      <c r="E23" s="75">
        <f>IFERROR(ROUNDUP(Inputs!B56/C23,0),0)</f>
        <v>12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43026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43009</v>
      </c>
      <c r="F33" t="s">
        <v>161</v>
      </c>
      <c r="G33" s="128">
        <f>IF(Inputs!B79="","",DATE(YEAR(Inputs!B79),MONTH(Inputs!B79),DAY(Inputs!B79)))</f>
        <v>42996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43057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43040</v>
      </c>
      <c r="F34" t="s">
        <v>162</v>
      </c>
      <c r="G34" s="128">
        <f>IF(Inputs!B80="","",DATE(YEAR(Inputs!B80),MONTH(Inputs!B80),DAY(Inputs!B80)))</f>
        <v>43026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43087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43070</v>
      </c>
      <c r="F35" t="s">
        <v>164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43118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43101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43149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43132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43177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43160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43208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43191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43238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43221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43269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43252</v>
      </c>
      <c r="F41" t="s">
        <v>228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43299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43282</v>
      </c>
      <c r="F42" t="s">
        <v>229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43330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43361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315</v>
      </c>
      <c r="H52" s="12" t="s">
        <v>129</v>
      </c>
      <c r="I52" s="12" t="s">
        <v>316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230</v>
      </c>
      <c r="E53" s="10" t="s">
        <v>189</v>
      </c>
      <c r="F53" s="10" t="s">
        <v>249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167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226</v>
      </c>
      <c r="J76" s="11" t="s">
        <v>349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93</v>
      </c>
      <c r="F77" s="12" t="s">
        <v>93</v>
      </c>
      <c r="G77" s="12" t="s">
        <v>351</v>
      </c>
      <c r="H77" s="12" t="s">
        <v>129</v>
      </c>
      <c r="I77" s="12" t="s">
        <v>352</v>
      </c>
      <c r="J77" s="136" t="s">
        <v>353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109</v>
      </c>
      <c r="H78" s="12" t="s">
        <v>316</v>
      </c>
      <c r="I78" s="12" t="s">
        <v>357</v>
      </c>
      <c r="J78" s="70" t="s">
        <v>358</v>
      </c>
      <c r="K78" s="12" t="s">
        <v>93</v>
      </c>
      <c r="AJ78" s="12"/>
    </row>
    <row r="79" spans="1:36">
      <c r="B79" s="176">
        <v>10</v>
      </c>
      <c r="C79" s="12" t="s">
        <v>123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167</v>
      </c>
      <c r="J79" s="70" t="s">
        <v>362</v>
      </c>
      <c r="K79" s="12" t="s">
        <v>93</v>
      </c>
      <c r="AJ79" s="12"/>
    </row>
    <row r="80" spans="1:36">
      <c r="B80" s="176">
        <v>20</v>
      </c>
      <c r="C80" s="12" t="s">
        <v>363</v>
      </c>
      <c r="D80" s="12">
        <f>D79+1</f>
        <v>2</v>
      </c>
      <c r="E80" s="12" t="s">
        <v>364</v>
      </c>
      <c r="F80" s="12" t="s">
        <v>365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154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367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368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