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<sst xmlns="http://schemas.openxmlformats.org/spreadsheetml/2006/main" uniqueCount="370">
  <si>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</si>
  <si>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</si>
  <si>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</si>
  <si>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</si>
  <si>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</si>
  <si>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</si>
  <si>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</si>
  <si>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</si>
  <si>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</si>
  <si>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</si>
  <si>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</si>
  <si>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</si>
  <si>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</si>
  <si>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</si>
  <si>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</si>
  <si>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</si>
  <si>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</si>
  <si>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</si>
  <si>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</si>
  <si>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</si>
  <si>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</si>
  <si>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</si>
  <si>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</si>
  <si>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</si>
  <si>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</si>
  <si>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</si>
  <si>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</si>
  <si>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</si>
  <si>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</si>
  <si>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</si>
  <si>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</si>
  <si>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</si>
  <si>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</si>
  <si>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</si>
  <si>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</si>
  <si>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</si>
  <si>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</si>
  <si>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</si>
  <si>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</si>
  <si>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</si>
  <si>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</si>
  <si>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</si>
  <si>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</si>
  <si>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</si>
  <si>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</si>
  <si>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</si>
  <si>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</si>
  <si>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</si>
  <si>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</si>
  <si>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</si>
  <si>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</si>
  <si>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</si>
  <si>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</si>
  <si>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</si>
  <si>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</si>
  <si>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</si>
  <si>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</si>
  <si>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</si>
  <si>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</si>
  <si>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</si>
  <si>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</si>
  <si>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</si>
  <si>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</si>
  <si>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</si>
  <si>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</si>
  <si>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</si>
  <si>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</si>
  <si>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</si>
  <si>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</si>
  <si>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</si>
  <si>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</si>
  <si>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</si>
  <si>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</si>
  <si>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</si>
  <si>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</si>
  <si>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</si>
  <si>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</si>
  <si>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</si>
  <si>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</si>
  <si>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</si>
  <si>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</si>
  <si>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</si>
  <si>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</si>
  <si>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</si>
  <si>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</si>
  <si>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</si>
  <si>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</si>
  <si>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</si>
  <si>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</si>
  <si>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</si>
  <si>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Shop_certified variety</t>
  </si>
  <si>
    <t>Yes Inorganic fertizers</t>
  </si>
  <si>
    <t>Yes</t>
  </si>
  <si>
    <t>No</t>
  </si>
  <si>
    <t>October</t>
  </si>
  <si>
    <t>Maize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</si>
  <si>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</si>
  <si>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</si>
  <si>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</si>
  <si>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</si>
  <si>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</si>
  <si>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</si>
  <si>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</si>
  <si>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</si>
  <si>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</si>
  <si>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</si>
  <si>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</si>
  <si>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</si>
  <si>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</si>
  <si>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</si>
  <si>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</si>
  <si>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Always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</si>
  <si>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</si>
  <si>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</si>
  <si>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</si>
  <si>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</si>
  <si>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</si>
  <si>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mpesa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</si>
  <si>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</si>
  <si>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</si>
  <si>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</si>
  <si>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</si>
  <si>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</si>
  <si>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</si>
  <si>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</si>
  <si>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constr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</si>
  <si>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</si>
  <si>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</si>
  <si>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</si>
  <si>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</si>
  <si>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</si>
  <si>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</si>
  <si>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</si>
  <si>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</si>
  <si>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</si>
  <si>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</si>
  <si>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</si>
  <si>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</si>
  <si>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</si>
  <si>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</si>
  <si>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</si>
  <si>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</si>
  <si>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</si>
  <si>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</si>
  <si>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</si>
  <si>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</si>
  <si>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</si>
  <si>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7/3/2015</t>
  </si>
  <si>
    <t>kcb</t>
  </si>
  <si>
    <t xml:space="preserve">good repayment history </t>
  </si>
  <si>
    <t>Mpesa &amp; bank cash flows (from past statements)</t>
  </si>
  <si>
    <t>Cash inflows</t>
  </si>
  <si>
    <t>Cash outflows</t>
  </si>
  <si>
    <t>March</t>
  </si>
  <si>
    <t>May</t>
  </si>
  <si>
    <t>June</t>
  </si>
  <si>
    <t>July</t>
  </si>
  <si>
    <t>August</t>
  </si>
  <si>
    <t>Loan info</t>
  </si>
  <si>
    <t>Branch ID</t>
  </si>
  <si>
    <t>Submission date</t>
  </si>
  <si>
    <t>2017/9/18</t>
  </si>
  <si>
    <t>Loan terms</t>
  </si>
  <si>
    <t>Expected disbursement date</t>
  </si>
  <si>
    <t>Expected first repayment date</t>
  </si>
  <si>
    <t>2017/10/18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</si>
  <si>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</si>
  <si>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</si>
  <si>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</si>
  <si>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</si>
  <si>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</si>
  <si>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</si>
  <si>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</si>
  <si>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</si>
  <si>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</si>
  <si>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</si>
  <si>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</si>
  <si>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</si>
  <si>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</si>
  <si>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</si>
  <si>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</si>
  <si>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</si>
  <si>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</si>
  <si>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</si>
  <si>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</si>
  <si>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</si>
  <si>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</si>
  <si>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</si>
  <si>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</si>
  <si>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</si>
  <si>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</si>
  <si>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</si>
  <si>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</si>
  <si>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</si>
  <si>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</si>
  <si>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</si>
  <si>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</si>
  <si>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</si>
  <si>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</si>
  <si>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</si>
  <si>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</si>
  <si>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</si>
  <si>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</si>
  <si>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</si>
  <si>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</si>
  <si>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</si>
  <si>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</si>
  <si>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</si>
  <si>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</si>
  <si>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</si>
  <si>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</si>
  <si>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</si>
  <si>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</si>
  <si>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</si>
  <si>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</si>
  <si>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</si>
  <si>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</si>
  <si>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</si>
  <si>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</si>
  <si>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</si>
  <si>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</si>
  <si>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</si>
  <si>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</si>
  <si>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</si>
  <si>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</si>
  <si>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</si>
  <si>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</si>
  <si>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</si>
  <si>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</si>
  <si>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</si>
  <si>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</si>
  <si>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</si>
  <si>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</si>
  <si>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</si>
  <si>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</si>
  <si>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</si>
  <si>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</si>
  <si>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</si>
  <si>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</si>
  <si>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</si>
  <si>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</si>
  <si>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</si>
  <si>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</si>
  <si>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</si>
  <si>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</si>
  <si>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</si>
  <si>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</si>
  <si>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</si>
  <si>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</si>
  <si>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</si>
  <si>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</si>
  <si>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</si>
  <si>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</si>
  <si>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</si>
  <si>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</si>
  <si>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</si>
  <si>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</si>
  <si>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</si>
  <si>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</si>
  <si>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</si>
  <si>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</si>
  <si>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</si>
  <si>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</si>
  <si>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</si>
  <si>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</si>
  <si>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</si>
  <si>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</si>
  <si>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</si>
  <si>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</si>
  <si>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</si>
  <si>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</si>
  <si>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</si>
  <si>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</si>
  <si>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</si>
  <si>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</si>
  <si>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</si>
  <si>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</si>
  <si>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</si>
  <si>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</si>
  <si>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</si>
  <si>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</si>
  <si>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</si>
  <si>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</si>
  <si>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</si>
  <si>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</si>
  <si>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</si>
  <si>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</si>
  <si>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</si>
  <si>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</si>
  <si>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</si>
  <si>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</si>
  <si>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</si>
  <si>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</si>
  <si>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</si>
  <si>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</si>
  <si>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</si>
  <si>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</si>
  <si>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</si>
  <si>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</si>
  <si>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</si>
  <si>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</si>
  <si>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</si>
  <si>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</si>
  <si>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</si>
  <si>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</si>
  <si>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</si>
  <si>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</si>
  <si>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</si>
  <si>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</si>
  <si>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</si>
  <si>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</si>
  <si>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</si>
  <si>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</si>
  <si>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</si>
  <si>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</si>
  <si>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</si>
  <si>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</si>
  <si>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</si>
  <si>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</si>
  <si>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</si>
  <si>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</si>
  <si>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</si>
  <si>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</si>
  <si>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</si>
  <si>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</si>
  <si>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</si>
  <si>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</si>
  <si>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</si>
  <si>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</si>
  <si>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</si>
  <si>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</si>
  <si>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</si>
  <si>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</si>
  <si>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</si>
  <si>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</si>
  <si>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</si>
  <si>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</si>
  <si>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</si>
  <si>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</si>
  <si>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</si>
  <si>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</si>
  <si>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</si>
  <si>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</si>
  <si>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</si>
  <si>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</si>
  <si>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</si>
  <si>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</si>
  <si>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</si>
  <si>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</si>
  <si>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</si>
  <si>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</si>
  <si>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</si>
  <si>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</si>
  <si>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</si>
  <si>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</si>
  <si>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</si>
  <si>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</si>
  <si>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</si>
  <si>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</si>
  <si>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</si>
  <si>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</si>
  <si>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</si>
  <si>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</si>
  <si>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</si>
  <si>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</si>
  <si>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</si>
  <si>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</si>
  <si>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NGO</t>
  </si>
  <si>
    <t>September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</si>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</sst>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Cows_dairy, Chicken: sale of ex layers</v>
      </c>
    </row>
    <row r="8" spans="1:7">
      <c r="B8" s="1" t="s">
        <v>4</v>
      </c>
      <c r="C8" t="str">
        <f>IF(Inputs!B29="","None",Inputs!B29)</f>
        <v>mpesa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0.2084160560775888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2017</v>
      </c>
    </row>
    <row r="13" spans="1:7">
      <c r="B13" s="1" t="s">
        <v>8</v>
      </c>
      <c r="C13" s="67">
        <f>IFERROR(Output!B107/Output!B101,"")</f>
        <v>0.02732811140121845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480321.405509906</v>
      </c>
    </row>
    <row r="18" spans="1:7">
      <c r="B18" s="1" t="s">
        <v>12</v>
      </c>
      <c r="C18" s="36">
        <f>MIN(Output!B6:M6)</f>
        <v>-102339.3122891322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129336.7122509075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-4550.026574846503</v>
      </c>
      <c r="C6" s="51">
        <f>C30-C88</f>
        <v>34219.41665392244</v>
      </c>
      <c r="D6" s="51">
        <f>D30-D88</f>
        <v>110947.2993014326</v>
      </c>
      <c r="E6" s="51">
        <f>E30-E88</f>
        <v>-102339.3122891322</v>
      </c>
      <c r="F6" s="51">
        <f>F30-F88</f>
        <v>123261.7122509075</v>
      </c>
      <c r="G6" s="51">
        <f>G30-G88</f>
        <v>129336.7122509075</v>
      </c>
      <c r="H6" s="51">
        <f>H30-H88</f>
        <v>9335.687710867787</v>
      </c>
      <c r="I6" s="51">
        <f>I30-I88</f>
        <v>-14867.0265748465</v>
      </c>
      <c r="J6" s="51">
        <f>J30-J88</f>
        <v>-10625.0265748465</v>
      </c>
      <c r="K6" s="51">
        <f>K30-K88</f>
        <v>-16225.0265748465</v>
      </c>
      <c r="L6" s="51">
        <f>L30-L88</f>
        <v>106375.9979651932</v>
      </c>
      <c r="M6" s="51">
        <f>M30-M88</f>
        <v>115450.9979651932</v>
      </c>
      <c r="N6" s="51">
        <f>N30-N88</f>
        <v>-4550.026574846503</v>
      </c>
      <c r="O6" s="51">
        <f>O30-O88</f>
        <v>34219.41665392244</v>
      </c>
      <c r="P6" s="51">
        <f>P30-P88</f>
        <v>110947.2993014326</v>
      </c>
      <c r="Q6" s="51">
        <f>Q30-Q88</f>
        <v>-2339.312289132213</v>
      </c>
      <c r="R6" s="51">
        <f>R30-R88</f>
        <v>123261.7122509075</v>
      </c>
      <c r="S6" s="51">
        <f>S30-S88</f>
        <v>146836.7122509075</v>
      </c>
      <c r="T6" s="51">
        <f>T30-T88</f>
        <v>9335.687710867787</v>
      </c>
      <c r="U6" s="51">
        <f>U30-U88</f>
        <v>-14867.0265748465</v>
      </c>
      <c r="V6" s="51">
        <f>V30-V88</f>
        <v>-10625.0265748465</v>
      </c>
      <c r="W6" s="51">
        <f>W30-W88</f>
        <v>-16225.0265748465</v>
      </c>
      <c r="X6" s="51">
        <f>X30-X88</f>
        <v>106375.9979651932</v>
      </c>
      <c r="Y6" s="51">
        <f>Y30-Y88</f>
        <v>115450.9979651932</v>
      </c>
      <c r="Z6" s="51">
        <f>SUMIF($B$13:$Y$13,"Yes",B6:Y6)</f>
        <v>475771.3789350595</v>
      </c>
      <c r="AA6" s="51">
        <f>AA30-AA88</f>
        <v>480321.4055099064</v>
      </c>
      <c r="AB6" s="51">
        <f>AB30-AB88</f>
        <v>1078142.811019812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700411</v>
      </c>
      <c r="I7" s="80">
        <f>IF(ISERROR(VLOOKUP(MONTH(I5),Inputs!$D$66:$D$71,1,0)),"",INDEX(Inputs!$B$66:$B$71,MATCH(MONTH(Output!I5),Inputs!$D$66:$D$71,0))-INDEX(Inputs!$C$66:$C$71,MATCH(MONTH(Output!I5),Inputs!$D$66:$D$71,0)))</f>
        <v>200028</v>
      </c>
      <c r="J7" s="80">
        <f>IF(ISERROR(VLOOKUP(MONTH(J5),Inputs!$D$66:$D$71,1,0)),"",INDEX(Inputs!$B$66:$B$71,MATCH(MONTH(Output!J5),Inputs!$D$66:$D$71,0))-INDEX(Inputs!$C$66:$C$71,MATCH(MONTH(Output!J5),Inputs!$D$66:$D$71,0)))</f>
        <v>15700</v>
      </c>
      <c r="K7" s="80">
        <f>IF(ISERROR(VLOOKUP(MONTH(K5),Inputs!$D$66:$D$71,1,0)),"",INDEX(Inputs!$B$66:$B$71,MATCH(MONTH(Output!K5),Inputs!$D$66:$D$71,0))-INDEX(Inputs!$C$66:$C$71,MATCH(MONTH(Output!K5),Inputs!$D$66:$D$71,0)))</f>
        <v>30403</v>
      </c>
      <c r="L7" s="80">
        <f>IF(ISERROR(VLOOKUP(MONTH(L5),Inputs!$D$66:$D$71,1,0)),"",INDEX(Inputs!$B$66:$B$71,MATCH(MONTH(Output!L5),Inputs!$D$66:$D$71,0))-INDEX(Inputs!$C$66:$C$71,MATCH(MONTH(Output!L5),Inputs!$D$66:$D$71,0)))</f>
        <v>30971</v>
      </c>
      <c r="M7" s="80">
        <f>IF(ISERROR(VLOOKUP(MONTH(M5),Inputs!$D$66:$D$71,1,0)),"",INDEX(Inputs!$B$66:$B$71,MATCH(MONTH(Output!M5),Inputs!$D$66:$D$71,0))-INDEX(Inputs!$C$66:$C$71,MATCH(MONTH(Output!M5),Inputs!$D$66:$D$71,0)))</f>
        <v>-7500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700411</v>
      </c>
      <c r="U7" s="80">
        <f>IF(ISERROR(VLOOKUP(MONTH(U5),Inputs!$D$66:$D$71,1,0)),"",INDEX(Inputs!$B$66:$B$71,MATCH(MONTH(Output!U5),Inputs!$D$66:$D$71,0))-INDEX(Inputs!$C$66:$C$71,MATCH(MONTH(Output!U5),Inputs!$D$66:$D$71,0)))</f>
        <v>200028</v>
      </c>
      <c r="V7" s="80">
        <f>IF(ISERROR(VLOOKUP(MONTH(V5),Inputs!$D$66:$D$71,1,0)),"",INDEX(Inputs!$B$66:$B$71,MATCH(MONTH(Output!V5),Inputs!$D$66:$D$71,0))-INDEX(Inputs!$C$66:$C$71,MATCH(MONTH(Output!V5),Inputs!$D$66:$D$71,0)))</f>
        <v>15700</v>
      </c>
      <c r="W7" s="80">
        <f>IF(ISERROR(VLOOKUP(MONTH(W5),Inputs!$D$66:$D$71,1,0)),"",INDEX(Inputs!$B$66:$B$71,MATCH(MONTH(Output!W5),Inputs!$D$66:$D$71,0))-INDEX(Inputs!$C$66:$C$71,MATCH(MONTH(Output!W5),Inputs!$D$66:$D$71,0)))</f>
        <v>30403</v>
      </c>
      <c r="X7" s="80">
        <f>IF(ISERROR(VLOOKUP(MONTH(X5),Inputs!$D$66:$D$71,1,0)),"",INDEX(Inputs!$B$66:$B$71,MATCH(MONTH(Output!X5),Inputs!$D$66:$D$71,0))-INDEX(Inputs!$C$66:$C$71,MATCH(MONTH(Output!X5),Inputs!$D$66:$D$71,0)))</f>
        <v>30971</v>
      </c>
      <c r="Y7" s="80">
        <f>IF(ISERROR(VLOOKUP(MONTH(Y5),Inputs!$D$66:$D$71,1,0)),"",INDEX(Inputs!$B$66:$B$71,MATCH(MONTH(Output!Y5),Inputs!$D$66:$D$71,0))-INDEX(Inputs!$C$66:$C$71,MATCH(MONTH(Output!Y5),Inputs!$D$66:$D$71,0)))</f>
        <v>-7500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95449.9734251535</v>
      </c>
      <c r="C11" s="80">
        <f>C6+C9-C10</f>
        <v>24219.41665392244</v>
      </c>
      <c r="D11" s="80">
        <f>D6+D9-D10</f>
        <v>100947.2993014326</v>
      </c>
      <c r="E11" s="80">
        <f>E6+E9-E10</f>
        <v>-112339.3122891322</v>
      </c>
      <c r="F11" s="80">
        <f>F6+F9-F10</f>
        <v>113261.7122509075</v>
      </c>
      <c r="G11" s="80">
        <f>G6+G9-G10</f>
        <v>119336.7122509075</v>
      </c>
      <c r="H11" s="80">
        <f>H6+H9-H10</f>
        <v>-664.3122891322128</v>
      </c>
      <c r="I11" s="80">
        <f>I6+I9-I10</f>
        <v>-24867.0265748465</v>
      </c>
      <c r="J11" s="80">
        <f>J6+J9-J10</f>
        <v>-20625.0265748465</v>
      </c>
      <c r="K11" s="80">
        <f>K6+K9-K10</f>
        <v>-26225.0265748465</v>
      </c>
      <c r="L11" s="80">
        <f>L6+L9-L10</f>
        <v>96375.99796519319</v>
      </c>
      <c r="M11" s="80">
        <f>M6+M9-M10</f>
        <v>105450.9979651932</v>
      </c>
      <c r="N11" s="80">
        <f>N6+N9-N10</f>
        <v>-14550.0265748465</v>
      </c>
      <c r="O11" s="80">
        <f>O6+O9-O10</f>
        <v>34219.41665392244</v>
      </c>
      <c r="P11" s="80">
        <f>P6+P9-P10</f>
        <v>110947.2993014326</v>
      </c>
      <c r="Q11" s="80">
        <f>Q6+Q9-Q10</f>
        <v>-2339.312289132213</v>
      </c>
      <c r="R11" s="80">
        <f>R6+R9-R10</f>
        <v>123261.7122509075</v>
      </c>
      <c r="S11" s="80">
        <f>S6+S9-S10</f>
        <v>146836.7122509075</v>
      </c>
      <c r="T11" s="80">
        <f>T6+T9-T10</f>
        <v>9335.687710867787</v>
      </c>
      <c r="U11" s="80">
        <f>U6+U9-U10</f>
        <v>-14867.0265748465</v>
      </c>
      <c r="V11" s="80">
        <f>V6+V9-V10</f>
        <v>-10625.0265748465</v>
      </c>
      <c r="W11" s="80">
        <f>W6+W9-W10</f>
        <v>-16225.0265748465</v>
      </c>
      <c r="X11" s="80">
        <f>X6+X9-X10</f>
        <v>106375.9979651932</v>
      </c>
      <c r="Y11" s="80">
        <f>Y6+Y9-Y10</f>
        <v>115450.9979651932</v>
      </c>
      <c r="Z11" s="85">
        <f>SUMIF($B$13:$Y$13,"Yes",B11:Y11)</f>
        <v>455771.3789350595</v>
      </c>
      <c r="AA11" s="80">
        <f>SUM(B11:M11)</f>
        <v>470321.405509906</v>
      </c>
      <c r="AB11" s="46">
        <f>SUM(B11:Y11)</f>
        <v>1058142.811019812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0.07711920287356736</v>
      </c>
      <c r="D12" s="82">
        <f>IF(D13="Yes",IF(SUM($B$10:D10)/(SUM($B$6:D6)+SUM($B$9:D9))&lt;0,999.99,SUM($B$10:D10)/(SUM($B$6:D6)+SUM($B$9:D9))),"")</f>
        <v>0.08311975387697328</v>
      </c>
      <c r="E12" s="82">
        <f>IF(E13="Yes",IF(SUM($B$10:E10)/(SUM($B$6:E6)+SUM($B$9:E9))&lt;0,999.99,SUM($B$10:E10)/(SUM($B$6:E6)+SUM($B$9:E9))),"")</f>
        <v>0.2169552289104777</v>
      </c>
      <c r="F12" s="82">
        <f>IF(F13="Yes",IF(SUM($B$10:F10)/(SUM($B$6:F6)+SUM($B$9:F9))&lt;0,999.99,SUM($B$10:F10)/(SUM($B$6:F6)+SUM($B$9:F9))),"")</f>
        <v>0.152940809347435</v>
      </c>
      <c r="G12" s="82">
        <f>IF(G13="Yes",IF(SUM($B$10:G10)/(SUM($B$6:G6)+SUM($B$9:G9))&lt;0,999.99,SUM($B$10:G10)/(SUM($B$6:G6)+SUM($B$9:G9))),"")</f>
        <v>0.1279178700656381</v>
      </c>
      <c r="H12" s="82">
        <f>IF(H13="Yes",IF(SUM($B$10:H10)/(SUM($B$6:H6)+SUM($B$9:H9))&lt;0,999.99,SUM($B$10:H10)/(SUM($B$6:H6)+SUM($B$9:H9))),"")</f>
        <v>0.1499207334210619</v>
      </c>
      <c r="I12" s="82">
        <f>IF(I13="Yes",IF(SUM($B$10:I10)/(SUM($B$6:I6)+SUM($B$9:I9))&lt;0,999.99,SUM($B$10:I10)/(SUM($B$6:I6)+SUM($B$9:I9))),"")</f>
        <v>0.1816556529818104</v>
      </c>
      <c r="J12" s="82">
        <f>IF(J13="Yes",IF(SUM($B$10:J10)/(SUM($B$6:J6)+SUM($B$9:J9))&lt;0,999.99,SUM($B$10:J10)/(SUM($B$6:J6)+SUM($B$9:J9))),"")</f>
        <v>0.213493062492344</v>
      </c>
      <c r="K12" s="82">
        <f>IF(K13="Yes",IF(SUM($B$10:K10)/(SUM($B$6:K6)+SUM($B$9:K9))&lt;0,999.99,SUM($B$10:K10)/(SUM($B$6:K6)+SUM($B$9:K9))),"")</f>
        <v>0.2510499399573945</v>
      </c>
      <c r="L12" s="82">
        <f>IF(L13="Yes",IF(SUM($B$10:L10)/(SUM($B$6:L6)+SUM($B$9:L9))&lt;0,999.99,SUM($B$10:L10)/(SUM($B$6:L6)+SUM($B$9:L9))),"")</f>
        <v>0.2151137142244996</v>
      </c>
      <c r="M12" s="82">
        <f>IF(M13="Yes",IF(SUM($B$10:M10)/(SUM($B$6:M6)+SUM($B$9:M9))&lt;0,999.99,SUM($B$10:M10)/(SUM($B$6:M6)+SUM($B$9:M9))),"")</f>
        <v>0.1895501336941849</v>
      </c>
      <c r="N12" s="82">
        <f>IF(N13="Yes",IF(SUM($B$10:N10)/(SUM($B$6:N6)+SUM($B$9:N9))&lt;0,999.99,SUM($B$10:N10)/(SUM($B$6:N6)+SUM($B$9:N9))),"")</f>
        <v>0.2084160560775888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120001.0245400397</v>
      </c>
      <c r="G18" s="36">
        <f>S18</f>
        <v>120001.0245400397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120001.0245400397</v>
      </c>
      <c r="M18" s="36">
        <f>Y18</f>
        <v>120001.0245400397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120001.0245400397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120001.0245400397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120001.0245400397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120001.0245400397</v>
      </c>
      <c r="Z18" s="36">
        <f>SUMIF($B$13:$Y$13,"Yes",B18:Y18)</f>
        <v>480004.0981601588</v>
      </c>
      <c r="AA18" s="36">
        <f>SUM(B18:M18)</f>
        <v>480004.0981601588</v>
      </c>
      <c r="AB18" s="36">
        <f>SUM(B18:Y18)</f>
        <v>960008.1963203176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89738.84299213736</v>
      </c>
      <c r="D19" s="36">
        <f>P19</f>
        <v>107686.6115905648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89738.84299213736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107686.6115905648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197425.4545827022</v>
      </c>
      <c r="AA19" s="36">
        <f>SUM(B19:M19)</f>
        <v>197425.4545827022</v>
      </c>
      <c r="AB19" s="36">
        <f>SUM(B19:Y19)</f>
        <v>394850.9091654044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133721.8045112783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3041.666666666667</v>
      </c>
      <c r="C24" s="36">
        <f>IFERROR(Calculations!$P14/12,"")</f>
        <v>3041.666666666667</v>
      </c>
      <c r="D24" s="36">
        <f>IFERROR(Calculations!$P14/12,"")</f>
        <v>3041.666666666667</v>
      </c>
      <c r="E24" s="36">
        <f>IFERROR(Calculations!$P14/12,"")</f>
        <v>3041.666666666667</v>
      </c>
      <c r="F24" s="36">
        <f>IFERROR(Calculations!$P14/12,"")</f>
        <v>3041.666666666667</v>
      </c>
      <c r="G24" s="36">
        <f>IFERROR(Calculations!$P14/12,"")</f>
        <v>3041.666666666667</v>
      </c>
      <c r="H24" s="36">
        <f>IFERROR(Calculations!$P14/12,"")</f>
        <v>3041.666666666667</v>
      </c>
      <c r="I24" s="36">
        <f>IFERROR(Calculations!$P14/12,"")</f>
        <v>3041.666666666667</v>
      </c>
      <c r="J24" s="36">
        <f>IFERROR(Calculations!$P14/12,"")</f>
        <v>3041.666666666667</v>
      </c>
      <c r="K24" s="36">
        <f>IFERROR(Calculations!$P14/12,"")</f>
        <v>3041.666666666667</v>
      </c>
      <c r="L24" s="36">
        <f>IFERROR(Calculations!$P14/12,"")</f>
        <v>3041.666666666667</v>
      </c>
      <c r="M24" s="36">
        <f>IFERROR(Calculations!$P14/12,"")</f>
        <v>3041.666666666667</v>
      </c>
      <c r="N24" s="36">
        <f>IFERROR(Calculations!$P14/12,"")</f>
        <v>3041.666666666667</v>
      </c>
      <c r="O24" s="36">
        <f>IFERROR(Calculations!$P14/12,"")</f>
        <v>3041.666666666667</v>
      </c>
      <c r="P24" s="36">
        <f>IFERROR(Calculations!$P14/12,"")</f>
        <v>3041.666666666667</v>
      </c>
      <c r="Q24" s="36">
        <f>IFERROR(Calculations!$P14/12,"")</f>
        <v>3041.666666666667</v>
      </c>
      <c r="R24" s="36">
        <f>IFERROR(Calculations!$P14/12,"")</f>
        <v>3041.666666666667</v>
      </c>
      <c r="S24" s="36">
        <f>IFERROR(Calculations!$P14/12,"")</f>
        <v>3041.666666666667</v>
      </c>
      <c r="T24" s="36">
        <f>IFERROR(Calculations!$P14/12,"")</f>
        <v>3041.666666666667</v>
      </c>
      <c r="U24" s="36">
        <f>IFERROR(Calculations!$P14/12,"")</f>
        <v>3041.666666666667</v>
      </c>
      <c r="V24" s="36">
        <f>IFERROR(Calculations!$P14/12,"")</f>
        <v>3041.666666666667</v>
      </c>
      <c r="W24" s="36">
        <f>IFERROR(Calculations!$P14/12,"")</f>
        <v>3041.666666666667</v>
      </c>
      <c r="X24" s="36">
        <f>IFERROR(Calculations!$P14/12,"")</f>
        <v>3041.666666666667</v>
      </c>
      <c r="Y24" s="36">
        <f>IFERROR(Calculations!$P14/12,"")</f>
        <v>3041.666666666667</v>
      </c>
      <c r="Z24" s="36">
        <f>SUMIF($B$13:$Y$13,"Yes",B24:Y24)</f>
        <v>39541.66666666666</v>
      </c>
      <c r="AA24" s="36">
        <f>SUM(B24:M24)</f>
        <v>36500</v>
      </c>
      <c r="AB24" s="46">
        <f>SUM(B24:Y24)</f>
        <v>72999.99999999999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65015.625</v>
      </c>
      <c r="C25" s="36">
        <f>IFERROR(Calculations!$P15/12,"")</f>
        <v>65015.625</v>
      </c>
      <c r="D25" s="36">
        <f>IFERROR(Calculations!$P15/12,"")</f>
        <v>65015.625</v>
      </c>
      <c r="E25" s="36">
        <f>IFERROR(Calculations!$P15/12,"")</f>
        <v>65015.625</v>
      </c>
      <c r="F25" s="36">
        <f>IFERROR(Calculations!$P15/12,"")</f>
        <v>65015.625</v>
      </c>
      <c r="G25" s="36">
        <f>IFERROR(Calculations!$P15/12,"")</f>
        <v>65015.625</v>
      </c>
      <c r="H25" s="36">
        <f>IFERROR(Calculations!$P15/12,"")</f>
        <v>65015.625</v>
      </c>
      <c r="I25" s="36">
        <f>IFERROR(Calculations!$P15/12,"")</f>
        <v>65015.625</v>
      </c>
      <c r="J25" s="36">
        <f>IFERROR(Calculations!$P15/12,"")</f>
        <v>65015.625</v>
      </c>
      <c r="K25" s="36">
        <f>IFERROR(Calculations!$P15/12,"")</f>
        <v>65015.625</v>
      </c>
      <c r="L25" s="36">
        <f>IFERROR(Calculations!$P15/12,"")</f>
        <v>65015.625</v>
      </c>
      <c r="M25" s="36">
        <f>IFERROR(Calculations!$P15/12,"")</f>
        <v>65015.625</v>
      </c>
      <c r="N25" s="36">
        <f>IFERROR(Calculations!$P15/12,"")</f>
        <v>65015.625</v>
      </c>
      <c r="O25" s="36">
        <f>IFERROR(Calculations!$P15/12,"")</f>
        <v>65015.625</v>
      </c>
      <c r="P25" s="36">
        <f>IFERROR(Calculations!$P15/12,"")</f>
        <v>65015.625</v>
      </c>
      <c r="Q25" s="36">
        <f>IFERROR(Calculations!$P15/12,"")</f>
        <v>65015.625</v>
      </c>
      <c r="R25" s="36">
        <f>IFERROR(Calculations!$P15/12,"")</f>
        <v>65015.625</v>
      </c>
      <c r="S25" s="36">
        <f>IFERROR(Calculations!$P15/12,"")</f>
        <v>65015.625</v>
      </c>
      <c r="T25" s="36">
        <f>IFERROR(Calculations!$P15/12,"")</f>
        <v>65015.625</v>
      </c>
      <c r="U25" s="36">
        <f>IFERROR(Calculations!$P15/12,"")</f>
        <v>65015.625</v>
      </c>
      <c r="V25" s="36">
        <f>IFERROR(Calculations!$P15/12,"")</f>
        <v>65015.625</v>
      </c>
      <c r="W25" s="36">
        <f>IFERROR(Calculations!$P15/12,"")</f>
        <v>65015.625</v>
      </c>
      <c r="X25" s="36">
        <f>IFERROR(Calculations!$P15/12,"")</f>
        <v>65015.625</v>
      </c>
      <c r="Y25" s="36">
        <f>IFERROR(Calculations!$P15/12,"")</f>
        <v>65015.625</v>
      </c>
      <c r="Z25" s="36">
        <f>SUMIF($B$13:$Y$13,"Yes",B25:Y25)</f>
        <v>845203.125</v>
      </c>
      <c r="AA25" s="36">
        <f>SUM(B25:M25)</f>
        <v>780187.5</v>
      </c>
      <c r="AB25" s="46">
        <f>SUM(B25:Y25)</f>
        <v>1560375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17500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17500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</v>
      </c>
      <c r="C29" s="37">
        <f>Inputs!$B$30</f>
        <v>10000</v>
      </c>
      <c r="D29" s="37">
        <f>Inputs!$B$30</f>
        <v>10000</v>
      </c>
      <c r="E29" s="37">
        <f>Inputs!$B$30</f>
        <v>10000</v>
      </c>
      <c r="F29" s="37">
        <f>Inputs!$B$30</f>
        <v>10000</v>
      </c>
      <c r="G29" s="37">
        <f>Inputs!$B$30</f>
        <v>10000</v>
      </c>
      <c r="H29" s="37">
        <f>Inputs!$B$30</f>
        <v>10000</v>
      </c>
      <c r="I29" s="37">
        <f>Inputs!$B$30</f>
        <v>10000</v>
      </c>
      <c r="J29" s="37">
        <f>Inputs!$B$30</f>
        <v>10000</v>
      </c>
      <c r="K29" s="37">
        <f>Inputs!$B$30</f>
        <v>10000</v>
      </c>
      <c r="L29" s="37">
        <f>Inputs!$B$30</f>
        <v>10000</v>
      </c>
      <c r="M29" s="37">
        <f>Inputs!$B$30</f>
        <v>10000</v>
      </c>
      <c r="N29" s="37">
        <f>Inputs!$B$30</f>
        <v>10000</v>
      </c>
      <c r="O29" s="37">
        <f>Inputs!$B$30</f>
        <v>10000</v>
      </c>
      <c r="P29" s="37">
        <f>Inputs!$B$30</f>
        <v>10000</v>
      </c>
      <c r="Q29" s="37">
        <f>Inputs!$B$30</f>
        <v>10000</v>
      </c>
      <c r="R29" s="37">
        <f>Inputs!$B$30</f>
        <v>10000</v>
      </c>
      <c r="S29" s="37">
        <f>Inputs!$B$30</f>
        <v>10000</v>
      </c>
      <c r="T29" s="37">
        <f>Inputs!$B$30</f>
        <v>10000</v>
      </c>
      <c r="U29" s="37">
        <f>Inputs!$B$30</f>
        <v>10000</v>
      </c>
      <c r="V29" s="37">
        <f>Inputs!$B$30</f>
        <v>10000</v>
      </c>
      <c r="W29" s="37">
        <f>Inputs!$B$30</f>
        <v>10000</v>
      </c>
      <c r="X29" s="37">
        <f>Inputs!$B$30</f>
        <v>10000</v>
      </c>
      <c r="Y29" s="37">
        <f>Inputs!$B$30</f>
        <v>10000</v>
      </c>
      <c r="Z29" s="37">
        <f>SUMIF($B$13:$Y$13,"Yes",B29:Y29)</f>
        <v>130000</v>
      </c>
      <c r="AA29" s="37">
        <f>SUM(B29:M29)</f>
        <v>120000</v>
      </c>
      <c r="AB29" s="37">
        <f>SUM(B29:Y29)</f>
        <v>240000</v>
      </c>
    </row>
    <row r="30" spans="1:30" customHeight="1" ht="15.75">
      <c r="A30" s="1" t="s">
        <v>37</v>
      </c>
      <c r="B30" s="19">
        <f>SUM(B18:B29)</f>
        <v>78057.29166666667</v>
      </c>
      <c r="C30" s="19">
        <f>SUM(C18:C29)</f>
        <v>167796.134658804</v>
      </c>
      <c r="D30" s="19">
        <f>SUM(D18:D29)</f>
        <v>185743.9032572315</v>
      </c>
      <c r="E30" s="19">
        <f>SUM(E18:E29)</f>
        <v>78057.29166666667</v>
      </c>
      <c r="F30" s="19">
        <f>SUM(F18:F29)</f>
        <v>198058.3162067064</v>
      </c>
      <c r="G30" s="19">
        <f>SUM(G18:G29)</f>
        <v>198058.3162067064</v>
      </c>
      <c r="H30" s="19">
        <f>SUM(H18:H29)</f>
        <v>78057.29166666667</v>
      </c>
      <c r="I30" s="19">
        <f>SUM(I18:I29)</f>
        <v>78057.29166666667</v>
      </c>
      <c r="J30" s="19">
        <f>SUM(J18:J29)</f>
        <v>78057.29166666667</v>
      </c>
      <c r="K30" s="19">
        <f>SUM(K18:K29)</f>
        <v>78057.29166666667</v>
      </c>
      <c r="L30" s="19">
        <f>SUM(L18:L29)</f>
        <v>198058.3162067064</v>
      </c>
      <c r="M30" s="19">
        <f>SUM(M18:M29)</f>
        <v>198058.3162067064</v>
      </c>
      <c r="N30" s="19">
        <f>SUM(N18:N29)</f>
        <v>78057.29166666667</v>
      </c>
      <c r="O30" s="19">
        <f>SUM(O18:O29)</f>
        <v>167796.134658804</v>
      </c>
      <c r="P30" s="19">
        <f>SUM(P18:P29)</f>
        <v>185743.9032572315</v>
      </c>
      <c r="Q30" s="19">
        <f>SUM(Q18:Q29)</f>
        <v>78057.29166666667</v>
      </c>
      <c r="R30" s="19">
        <f>SUM(R18:R29)</f>
        <v>198058.3162067064</v>
      </c>
      <c r="S30" s="19">
        <f>SUM(S18:S29)</f>
        <v>215558.3162067064</v>
      </c>
      <c r="T30" s="19">
        <f>SUM(T18:T29)</f>
        <v>78057.29166666667</v>
      </c>
      <c r="U30" s="19">
        <f>SUM(U18:U29)</f>
        <v>78057.29166666667</v>
      </c>
      <c r="V30" s="19">
        <f>SUM(V18:V29)</f>
        <v>78057.29166666667</v>
      </c>
      <c r="W30" s="19">
        <f>SUM(W18:W29)</f>
        <v>78057.29166666667</v>
      </c>
      <c r="X30" s="19">
        <f>SUM(X18:X29)</f>
        <v>198058.3162067064</v>
      </c>
      <c r="Y30" s="19">
        <f>SUM(Y18:Y29)</f>
        <v>198058.3162067064</v>
      </c>
      <c r="Z30" s="19">
        <f>SUMIF($B$13:$Y$13,"Yes",B30:Y30)</f>
        <v>1692174.344409528</v>
      </c>
      <c r="AA30" s="19">
        <f>SUM(B30:M30)</f>
        <v>1614117.052742861</v>
      </c>
      <c r="AB30" s="19">
        <f>SUM(B30:Y30)</f>
        <v>3245734.105485721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1212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4242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1212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4242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5454</v>
      </c>
      <c r="AA42" s="36">
        <f>SUM(B42:M42)</f>
        <v>5454</v>
      </c>
      <c r="AB42" s="36">
        <f>SUM(B42:Y42)</f>
        <v>10908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1212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1212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1212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1212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2424</v>
      </c>
      <c r="AA43" s="36">
        <f>SUM(B43:M43)</f>
        <v>2424</v>
      </c>
      <c r="AB43" s="36">
        <f>SUM(B43:Y43)</f>
        <v>4848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3030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3030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3030</v>
      </c>
      <c r="AA44" s="36">
        <f>SUM(B44:M44)</f>
        <v>3030</v>
      </c>
      <c r="AB44" s="36">
        <f>SUM(B44:Y44)</f>
        <v>6060.000000000001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5600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5600</v>
      </c>
      <c r="L48" s="36">
        <f>X48</f>
        <v>3000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5600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5600</v>
      </c>
      <c r="X48" s="46">
        <f>SUM(X49:X53)</f>
        <v>3000</v>
      </c>
      <c r="Y48" s="46">
        <f>SUM(Y49:Y53)</f>
        <v>0</v>
      </c>
      <c r="Z48" s="46">
        <f>SUMIF($B$13:$Y$13,"Yes",B48:Y48)</f>
        <v>14200</v>
      </c>
      <c r="AA48" s="46">
        <f>SUM(B48:M48)</f>
        <v>14200</v>
      </c>
      <c r="AB48" s="46">
        <f>SUM(B48:Y48)</f>
        <v>28400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5600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5600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5600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5600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11200</v>
      </c>
      <c r="AA49" s="46">
        <f>SUM(B49:M49)</f>
        <v>11200</v>
      </c>
      <c r="AB49" s="46">
        <f>SUM(B49:Y49)</f>
        <v>22400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3000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3000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3000</v>
      </c>
      <c r="AA50" s="46">
        <f>SUM(B50:M50)</f>
        <v>3000</v>
      </c>
      <c r="AB50" s="46">
        <f>SUM(B50:Y50)</f>
        <v>6000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43682.39976336844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43682.39976336844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43682.39976336844</v>
      </c>
      <c r="AA54" s="46">
        <f>SUM(B54:M54)</f>
        <v>43682.39976336844</v>
      </c>
      <c r="AB54" s="46">
        <f>SUM(B54:Y54)</f>
        <v>87364.79952673688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43682.39976336844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43682.39976336844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43682.39976336844</v>
      </c>
      <c r="AA56" s="46">
        <f>SUM(B56:M56)</f>
        <v>43682.39976336844</v>
      </c>
      <c r="AB56" s="46">
        <f>SUM(B56:Y56)</f>
        <v>87364.79952673688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13885.71428571429</v>
      </c>
      <c r="C66" s="36">
        <f>O66</f>
        <v>19960.71428571429</v>
      </c>
      <c r="D66" s="36">
        <f>P66</f>
        <v>6075</v>
      </c>
      <c r="E66" s="36">
        <f>Q66</f>
        <v>6075</v>
      </c>
      <c r="F66" s="36">
        <f>R66</f>
        <v>6075</v>
      </c>
      <c r="G66" s="36">
        <f>S66</f>
        <v>0</v>
      </c>
      <c r="H66" s="36">
        <f>T66</f>
        <v>0</v>
      </c>
      <c r="I66" s="36">
        <f>U66</f>
        <v>19960.71428571429</v>
      </c>
      <c r="J66" s="36">
        <f>V66</f>
        <v>19960.71428571429</v>
      </c>
      <c r="K66" s="36">
        <f>W66</f>
        <v>19960.71428571429</v>
      </c>
      <c r="L66" s="36">
        <f>X66</f>
        <v>19960.71428571429</v>
      </c>
      <c r="M66" s="36">
        <f>Y66</f>
        <v>13885.71428571429</v>
      </c>
      <c r="N66" s="46">
        <f>SUM(N67:N71)</f>
        <v>13885.71428571429</v>
      </c>
      <c r="O66" s="46">
        <f>SUM(O67:O71)</f>
        <v>19960.71428571429</v>
      </c>
      <c r="P66" s="46">
        <f>SUM(P67:P71)</f>
        <v>6075</v>
      </c>
      <c r="Q66" s="46">
        <f>SUM(Q67:Q71)</f>
        <v>6075</v>
      </c>
      <c r="R66" s="46">
        <f>SUM(R67:R71)</f>
        <v>6075</v>
      </c>
      <c r="S66" s="46">
        <f>SUM(S67:S71)</f>
        <v>0</v>
      </c>
      <c r="T66" s="46">
        <f>SUM(T67:T71)</f>
        <v>0</v>
      </c>
      <c r="U66" s="46">
        <f>SUM(U67:U71)</f>
        <v>19960.71428571429</v>
      </c>
      <c r="V66" s="46">
        <f>SUM(V67:V71)</f>
        <v>19960.71428571429</v>
      </c>
      <c r="W66" s="46">
        <f>SUM(W67:W71)</f>
        <v>19960.71428571429</v>
      </c>
      <c r="X66" s="46">
        <f>SUM(X67:X71)</f>
        <v>19960.71428571429</v>
      </c>
      <c r="Y66" s="46">
        <f>SUM(Y67:Y71)</f>
        <v>13885.71428571429</v>
      </c>
      <c r="Z66" s="46">
        <f>SUMIF($B$13:$Y$13,"Yes",B66:Y66)</f>
        <v>159685.7142857143</v>
      </c>
      <c r="AA66" s="46">
        <f>SUM(B66:M66)</f>
        <v>145800</v>
      </c>
      <c r="AB66" s="46">
        <f>SUM(B66:Y66)</f>
        <v>291600</v>
      </c>
    </row>
    <row r="67" spans="1:30" hidden="true" outlineLevel="1">
      <c r="A67" s="181" t="str">
        <f>Calculations!$A$4</f>
        <v>Cabbages</v>
      </c>
      <c r="B67" s="36">
        <f>N67</f>
        <v>0</v>
      </c>
      <c r="C67" s="36">
        <f>O67</f>
        <v>6075</v>
      </c>
      <c r="D67" s="36">
        <f>P67</f>
        <v>6075</v>
      </c>
      <c r="E67" s="36">
        <f>Q67</f>
        <v>6075</v>
      </c>
      <c r="F67" s="36">
        <f>R67</f>
        <v>6075</v>
      </c>
      <c r="G67" s="36">
        <f>S67</f>
        <v>0</v>
      </c>
      <c r="H67" s="36">
        <f>T67</f>
        <v>0</v>
      </c>
      <c r="I67" s="36">
        <f>U67</f>
        <v>6075</v>
      </c>
      <c r="J67" s="36">
        <f>V67</f>
        <v>6075</v>
      </c>
      <c r="K67" s="36">
        <f>W67</f>
        <v>6075</v>
      </c>
      <c r="L67" s="36">
        <f>X67</f>
        <v>6075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6075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6075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6075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6075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6075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6075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6075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6075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48600</v>
      </c>
      <c r="AA67" s="46">
        <f>SUM(B67:M67)</f>
        <v>48600</v>
      </c>
      <c r="AB67" s="46">
        <f>SUM(B67:Y67)</f>
        <v>97200</v>
      </c>
    </row>
    <row r="68" spans="1:30" hidden="true" outlineLevel="1">
      <c r="A68" s="181" t="str">
        <f>Calculations!$A$5</f>
        <v>Maize</v>
      </c>
      <c r="B68" s="36">
        <f>N68</f>
        <v>13885.71428571429</v>
      </c>
      <c r="C68" s="36">
        <f>O68</f>
        <v>13885.71428571429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13885.71428571429</v>
      </c>
      <c r="J68" s="36">
        <f>V68</f>
        <v>13885.71428571429</v>
      </c>
      <c r="K68" s="36">
        <f>W68</f>
        <v>13885.71428571429</v>
      </c>
      <c r="L68" s="36">
        <f>X68</f>
        <v>13885.71428571429</v>
      </c>
      <c r="M68" s="36">
        <f>Y68</f>
        <v>13885.71428571429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13885.71428571429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13885.71428571429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13885.71428571429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13885.71428571429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13885.71428571429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13885.71428571429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13885.71428571429</v>
      </c>
      <c r="Z68" s="46">
        <f>SUMIF($B$13:$Y$13,"Yes",B68:Y68)</f>
        <v>111085.7142857143</v>
      </c>
      <c r="AA68" s="46">
        <f>SUM(B68:M68)</f>
        <v>97200.00000000001</v>
      </c>
      <c r="AB68" s="46">
        <f>SUM(B68:Y68)</f>
        <v>194400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18250</v>
      </c>
      <c r="C74" s="46">
        <f>SUM(Calculations!$Q$14:$Q$16)/12</f>
        <v>18250</v>
      </c>
      <c r="D74" s="46">
        <f>SUM(Calculations!$Q$14:$Q$16)/12</f>
        <v>18250</v>
      </c>
      <c r="E74" s="46">
        <f>SUM(Calculations!$Q$14:$Q$16)/12</f>
        <v>18250</v>
      </c>
      <c r="F74" s="46">
        <f>SUM(Calculations!$Q$14:$Q$16)/12</f>
        <v>18250</v>
      </c>
      <c r="G74" s="46">
        <f>SUM(Calculations!$Q$14:$Q$16)/12</f>
        <v>18250</v>
      </c>
      <c r="H74" s="46">
        <f>SUM(Calculations!$Q$14:$Q$16)/12</f>
        <v>18250</v>
      </c>
      <c r="I74" s="46">
        <f>SUM(Calculations!$Q$14:$Q$16)/12</f>
        <v>18250</v>
      </c>
      <c r="J74" s="46">
        <f>SUM(Calculations!$Q$14:$Q$16)/12</f>
        <v>18250</v>
      </c>
      <c r="K74" s="46">
        <f>SUM(Calculations!$Q$14:$Q$16)/12</f>
        <v>18250</v>
      </c>
      <c r="L74" s="46">
        <f>SUM(Calculations!$Q$14:$Q$16)/12</f>
        <v>18250</v>
      </c>
      <c r="M74" s="46">
        <f>SUM(Calculations!$Q$14:$Q$16)/12</f>
        <v>18250</v>
      </c>
      <c r="N74" s="46">
        <f>SUM(Calculations!$Q$14:$Q$16)/12</f>
        <v>18250</v>
      </c>
      <c r="O74" s="46">
        <f>SUM(Calculations!$Q$14:$Q$16)/12</f>
        <v>18250</v>
      </c>
      <c r="P74" s="46">
        <f>SUM(Calculations!$Q$14:$Q$16)/12</f>
        <v>18250</v>
      </c>
      <c r="Q74" s="46">
        <f>SUM(Calculations!$Q$14:$Q$16)/12</f>
        <v>18250</v>
      </c>
      <c r="R74" s="46">
        <f>SUM(Calculations!$Q$14:$Q$16)/12</f>
        <v>18250</v>
      </c>
      <c r="S74" s="46">
        <f>SUM(Calculations!$Q$14:$Q$16)/12</f>
        <v>18250</v>
      </c>
      <c r="T74" s="46">
        <f>SUM(Calculations!$Q$14:$Q$16)/12</f>
        <v>18250</v>
      </c>
      <c r="U74" s="46">
        <f>SUM(Calculations!$Q$14:$Q$16)/12</f>
        <v>18250</v>
      </c>
      <c r="V74" s="46">
        <f>SUM(Calculations!$Q$14:$Q$16)/12</f>
        <v>18250</v>
      </c>
      <c r="W74" s="46">
        <f>SUM(Calculations!$Q$14:$Q$16)/12</f>
        <v>18250</v>
      </c>
      <c r="X74" s="46">
        <f>SUM(Calculations!$Q$14:$Q$16)/12</f>
        <v>18250</v>
      </c>
      <c r="Y74" s="46">
        <f>SUM(Calculations!$Q$14:$Q$16)/12</f>
        <v>18250</v>
      </c>
      <c r="Z74" s="46">
        <f>SUMIF($B$13:$Y$13,"Yes",B74:Y74)</f>
        <v>237250</v>
      </c>
      <c r="AA74" s="46">
        <f>SUM(B74:M74)</f>
        <v>219000</v>
      </c>
      <c r="AB74" s="46">
        <f>SUM(B74:Y74)</f>
        <v>438000</v>
      </c>
    </row>
    <row r="75" spans="1:30">
      <c r="A75" s="16" t="s">
        <v>47</v>
      </c>
      <c r="B75" s="46">
        <f>SUM(Calculations!$R$14:$R$16)/12</f>
        <v>904.4444444444445</v>
      </c>
      <c r="C75" s="46">
        <f>SUM(Calculations!$R$14:$R$16)/12</f>
        <v>904.4444444444445</v>
      </c>
      <c r="D75" s="46">
        <f>SUM(Calculations!$R$14:$R$16)/12</f>
        <v>904.4444444444445</v>
      </c>
      <c r="E75" s="46">
        <f>SUM(Calculations!$R$14:$R$16)/12</f>
        <v>904.4444444444445</v>
      </c>
      <c r="F75" s="46">
        <f>SUM(Calculations!$R$14:$R$16)/12</f>
        <v>904.4444444444445</v>
      </c>
      <c r="G75" s="46">
        <f>SUM(Calculations!$R$14:$R$16)/12</f>
        <v>904.4444444444445</v>
      </c>
      <c r="H75" s="46">
        <f>SUM(Calculations!$R$14:$R$16)/12</f>
        <v>904.4444444444445</v>
      </c>
      <c r="I75" s="46">
        <f>SUM(Calculations!$R$14:$R$16)/12</f>
        <v>904.4444444444445</v>
      </c>
      <c r="J75" s="46">
        <f>SUM(Calculations!$R$14:$R$16)/12</f>
        <v>904.4444444444445</v>
      </c>
      <c r="K75" s="46">
        <f>SUM(Calculations!$R$14:$R$16)/12</f>
        <v>904.4444444444445</v>
      </c>
      <c r="L75" s="46">
        <f>SUM(Calculations!$R$14:$R$16)/12</f>
        <v>904.4444444444445</v>
      </c>
      <c r="M75" s="46">
        <f>SUM(Calculations!$R$14:$R$16)/12</f>
        <v>904.4444444444445</v>
      </c>
      <c r="N75" s="46">
        <f>SUM(Calculations!$R$14:$R$16)/12</f>
        <v>904.4444444444445</v>
      </c>
      <c r="O75" s="46">
        <f>SUM(Calculations!$R$14:$R$16)/12</f>
        <v>904.4444444444445</v>
      </c>
      <c r="P75" s="46">
        <f>SUM(Calculations!$R$14:$R$16)/12</f>
        <v>904.4444444444445</v>
      </c>
      <c r="Q75" s="46">
        <f>SUM(Calculations!$R$14:$R$16)/12</f>
        <v>904.4444444444445</v>
      </c>
      <c r="R75" s="46">
        <f>SUM(Calculations!$R$14:$R$16)/12</f>
        <v>904.4444444444445</v>
      </c>
      <c r="S75" s="46">
        <f>SUM(Calculations!$R$14:$R$16)/12</f>
        <v>904.4444444444445</v>
      </c>
      <c r="T75" s="46">
        <f>SUM(Calculations!$R$14:$R$16)/12</f>
        <v>904.4444444444445</v>
      </c>
      <c r="U75" s="46">
        <f>SUM(Calculations!$R$14:$R$16)/12</f>
        <v>904.4444444444445</v>
      </c>
      <c r="V75" s="46">
        <f>SUM(Calculations!$R$14:$R$16)/12</f>
        <v>904.4444444444445</v>
      </c>
      <c r="W75" s="46">
        <f>SUM(Calculations!$R$14:$R$16)/12</f>
        <v>904.4444444444445</v>
      </c>
      <c r="X75" s="46">
        <f>SUM(Calculations!$R$14:$R$16)/12</f>
        <v>904.4444444444445</v>
      </c>
      <c r="Y75" s="46">
        <f>SUM(Calculations!$R$14:$R$16)/12</f>
        <v>904.4444444444445</v>
      </c>
      <c r="Z75" s="46">
        <f>SUMIF($B$13:$Y$13,"Yes",B75:Y75)</f>
        <v>11757.77777777778</v>
      </c>
      <c r="AA75" s="46">
        <f>SUM(B75:M75)</f>
        <v>10853.33333333334</v>
      </c>
      <c r="AB75" s="46">
        <f>SUM(B75:Y75)</f>
        <v>21706.66666666668</v>
      </c>
    </row>
    <row r="76" spans="1:30">
      <c r="A76" s="16" t="s">
        <v>48</v>
      </c>
      <c r="B76" s="46">
        <f>SUM(Calculations!$S$14:$S$16)/12</f>
        <v>5571.741854636592</v>
      </c>
      <c r="C76" s="46">
        <f>SUM(Calculations!$S$14:$S$16)/12</f>
        <v>5571.741854636592</v>
      </c>
      <c r="D76" s="46">
        <f>SUM(Calculations!$S$14:$S$16)/12</f>
        <v>5571.741854636592</v>
      </c>
      <c r="E76" s="46">
        <f>SUM(Calculations!$S$14:$S$16)/12</f>
        <v>5571.741854636592</v>
      </c>
      <c r="F76" s="46">
        <f>SUM(Calculations!$S$14:$S$16)/12</f>
        <v>5571.741854636592</v>
      </c>
      <c r="G76" s="46">
        <f>SUM(Calculations!$S$14:$S$16)/12</f>
        <v>5571.741854636592</v>
      </c>
      <c r="H76" s="46">
        <f>SUM(Calculations!$S$14:$S$16)/12</f>
        <v>5571.741854636592</v>
      </c>
      <c r="I76" s="46">
        <f>SUM(Calculations!$S$14:$S$16)/12</f>
        <v>5571.741854636592</v>
      </c>
      <c r="J76" s="46">
        <f>SUM(Calculations!$S$14:$S$16)/12</f>
        <v>5571.741854636592</v>
      </c>
      <c r="K76" s="46">
        <f>SUM(Calculations!$S$14:$S$16)/12</f>
        <v>5571.741854636592</v>
      </c>
      <c r="L76" s="46">
        <f>SUM(Calculations!$S$14:$S$16)/12</f>
        <v>5571.741854636592</v>
      </c>
      <c r="M76" s="46">
        <f>SUM(Calculations!$S$14:$S$16)/12</f>
        <v>5571.741854636592</v>
      </c>
      <c r="N76" s="46">
        <f>SUM(Calculations!$S$14:$S$16)/12</f>
        <v>5571.741854636592</v>
      </c>
      <c r="O76" s="46">
        <f>SUM(Calculations!$S$14:$S$16)/12</f>
        <v>5571.741854636592</v>
      </c>
      <c r="P76" s="46">
        <f>SUM(Calculations!$S$14:$S$16)/12</f>
        <v>5571.741854636592</v>
      </c>
      <c r="Q76" s="46">
        <f>SUM(Calculations!$S$14:$S$16)/12</f>
        <v>5571.741854636592</v>
      </c>
      <c r="R76" s="46">
        <f>SUM(Calculations!$S$14:$S$16)/12</f>
        <v>5571.741854636592</v>
      </c>
      <c r="S76" s="46">
        <f>SUM(Calculations!$S$14:$S$16)/12</f>
        <v>5571.741854636592</v>
      </c>
      <c r="T76" s="46">
        <f>SUM(Calculations!$S$14:$S$16)/12</f>
        <v>5571.741854636592</v>
      </c>
      <c r="U76" s="46">
        <f>SUM(Calculations!$S$14:$S$16)/12</f>
        <v>5571.741854636592</v>
      </c>
      <c r="V76" s="46">
        <f>SUM(Calculations!$S$14:$S$16)/12</f>
        <v>5571.741854636592</v>
      </c>
      <c r="W76" s="46">
        <f>SUM(Calculations!$S$14:$S$16)/12</f>
        <v>5571.741854636592</v>
      </c>
      <c r="X76" s="46">
        <f>SUM(Calculations!$S$14:$S$16)/12</f>
        <v>5571.741854636592</v>
      </c>
      <c r="Y76" s="46">
        <f>SUM(Calculations!$S$14:$S$16)/12</f>
        <v>5571.741854636592</v>
      </c>
      <c r="Z76" s="46">
        <f>SUMIF($B$13:$Y$13,"Yes",B76:Y76)</f>
        <v>72432.64411027571</v>
      </c>
      <c r="AA76" s="46">
        <f>SUM(B76:M76)</f>
        <v>66860.90225563911</v>
      </c>
      <c r="AB76" s="46">
        <f>SUM(B76:Y76)</f>
        <v>133721.8045112783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6000</v>
      </c>
      <c r="C79" s="46">
        <f>Inputs!$B$31</f>
        <v>6000</v>
      </c>
      <c r="D79" s="46">
        <f>Inputs!$B$31</f>
        <v>6000</v>
      </c>
      <c r="E79" s="46">
        <f>Inputs!$B$31</f>
        <v>6000</v>
      </c>
      <c r="F79" s="46">
        <f>Inputs!$B$31</f>
        <v>6000</v>
      </c>
      <c r="G79" s="46">
        <f>Inputs!$B$31</f>
        <v>6000</v>
      </c>
      <c r="H79" s="46">
        <f>Inputs!$B$31</f>
        <v>6000</v>
      </c>
      <c r="I79" s="46">
        <f>Inputs!$B$31</f>
        <v>6000</v>
      </c>
      <c r="J79" s="46">
        <f>Inputs!$B$31</f>
        <v>6000</v>
      </c>
      <c r="K79" s="46">
        <f>Inputs!$B$31</f>
        <v>6000</v>
      </c>
      <c r="L79" s="46">
        <f>Inputs!$B$31</f>
        <v>6000</v>
      </c>
      <c r="M79" s="46">
        <f>Inputs!$B$31</f>
        <v>6000</v>
      </c>
      <c r="N79" s="46">
        <f>Inputs!$B$31</f>
        <v>6000</v>
      </c>
      <c r="O79" s="46">
        <f>Inputs!$B$31</f>
        <v>6000</v>
      </c>
      <c r="P79" s="46">
        <f>Inputs!$B$31</f>
        <v>6000</v>
      </c>
      <c r="Q79" s="46">
        <f>Inputs!$B$31</f>
        <v>6000</v>
      </c>
      <c r="R79" s="46">
        <f>Inputs!$B$31</f>
        <v>6000</v>
      </c>
      <c r="S79" s="46">
        <f>Inputs!$B$31</f>
        <v>6000</v>
      </c>
      <c r="T79" s="46">
        <f>Inputs!$B$31</f>
        <v>6000</v>
      </c>
      <c r="U79" s="46">
        <f>Inputs!$B$31</f>
        <v>6000</v>
      </c>
      <c r="V79" s="46">
        <f>Inputs!$B$31</f>
        <v>6000</v>
      </c>
      <c r="W79" s="46">
        <f>Inputs!$B$31</f>
        <v>6000</v>
      </c>
      <c r="X79" s="46">
        <f>Inputs!$B$31</f>
        <v>6000</v>
      </c>
      <c r="Y79" s="46">
        <f>Inputs!$B$31</f>
        <v>6000</v>
      </c>
      <c r="Z79" s="46">
        <f>SUMIF($B$13:$Y$13,"Yes",B79:Y79)</f>
        <v>78000</v>
      </c>
      <c r="AA79" s="46">
        <f>SUM(B79:M79)</f>
        <v>72000</v>
      </c>
      <c r="AB79" s="46">
        <f>SUM(B79:Y79)</f>
        <v>144000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100000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100000</v>
      </c>
      <c r="AA80" s="46">
        <f>SUM(B80:M80)</f>
        <v>100000</v>
      </c>
      <c r="AB80" s="46">
        <f>SUM(B80:Y80)</f>
        <v>100000</v>
      </c>
    </row>
    <row r="81" spans="1:30">
      <c r="A81" s="43" t="s">
        <v>51</v>
      </c>
      <c r="B81" s="46">
        <f>(SUM($AA$18:$AA$29)-SUM($AA$36,$AA$42,$AA$48,$AA$54,$AA$60,$AA$66,$AA$72:$AA$79))*Parameters!$B$37/12</f>
        <v>34542.21391301734</v>
      </c>
      <c r="C81" s="46">
        <f>(SUM($AA$18:$AA$29)-SUM($AA$36,$AA$42,$AA$48,$AA$54,$AA$60,$AA$66,$AA$72:$AA$79))*Parameters!$B$37/12</f>
        <v>34542.21391301734</v>
      </c>
      <c r="D81" s="46">
        <f>(SUM($AA$18:$AA$29)-SUM($AA$36,$AA$42,$AA$48,$AA$54,$AA$60,$AA$66,$AA$72:$AA$79))*Parameters!$B$37/12</f>
        <v>34542.21391301734</v>
      </c>
      <c r="E81" s="46">
        <f>(SUM($AA$18:$AA$29)-SUM($AA$36,$AA$42,$AA$48,$AA$54,$AA$60,$AA$66,$AA$72:$AA$79))*Parameters!$B$37/12</f>
        <v>34542.21391301734</v>
      </c>
      <c r="F81" s="46">
        <f>(SUM($AA$18:$AA$29)-SUM($AA$36,$AA$42,$AA$48,$AA$54,$AA$60,$AA$66,$AA$72:$AA$79))*Parameters!$B$37/12</f>
        <v>34542.21391301734</v>
      </c>
      <c r="G81" s="46">
        <f>(SUM($AA$18:$AA$29)-SUM($AA$36,$AA$42,$AA$48,$AA$54,$AA$60,$AA$66,$AA$72:$AA$79))*Parameters!$B$37/12</f>
        <v>34542.21391301734</v>
      </c>
      <c r="H81" s="46">
        <f>(SUM($AA$18:$AA$29)-SUM($AA$36,$AA$42,$AA$48,$AA$54,$AA$60,$AA$66,$AA$72:$AA$79))*Parameters!$B$37/12</f>
        <v>34542.21391301734</v>
      </c>
      <c r="I81" s="46">
        <f>(SUM($AA$18:$AA$29)-SUM($AA$36,$AA$42,$AA$48,$AA$54,$AA$60,$AA$66,$AA$72:$AA$79))*Parameters!$B$37/12</f>
        <v>34542.21391301734</v>
      </c>
      <c r="J81" s="46">
        <f>(SUM($AA$18:$AA$29)-SUM($AA$36,$AA$42,$AA$48,$AA$54,$AA$60,$AA$66,$AA$72:$AA$79))*Parameters!$B$37/12</f>
        <v>34542.21391301734</v>
      </c>
      <c r="K81" s="46">
        <f>(SUM($AA$18:$AA$29)-SUM($AA$36,$AA$42,$AA$48,$AA$54,$AA$60,$AA$66,$AA$72:$AA$79))*Parameters!$B$37/12</f>
        <v>34542.21391301734</v>
      </c>
      <c r="L81" s="46">
        <f>(SUM($AA$18:$AA$29)-SUM($AA$36,$AA$42,$AA$48,$AA$54,$AA$60,$AA$66,$AA$72:$AA$79))*Parameters!$B$37/12</f>
        <v>34542.21391301734</v>
      </c>
      <c r="M81" s="46">
        <f>(SUM($AA$18:$AA$29)-SUM($AA$36,$AA$42,$AA$48,$AA$54,$AA$60,$AA$66,$AA$72:$AA$79))*Parameters!$B$37/12</f>
        <v>34542.21391301734</v>
      </c>
      <c r="N81" s="46">
        <f>(SUM($AA$18:$AA$29)-SUM($AA$36,$AA$42,$AA$48,$AA$54,$AA$60,$AA$66,$AA$72:$AA$79))*Parameters!$B$37/12</f>
        <v>34542.21391301734</v>
      </c>
      <c r="O81" s="46">
        <f>(SUM($AA$18:$AA$29)-SUM($AA$36,$AA$42,$AA$48,$AA$54,$AA$60,$AA$66,$AA$72:$AA$79))*Parameters!$B$37/12</f>
        <v>34542.21391301734</v>
      </c>
      <c r="P81" s="46">
        <f>(SUM($AA$18:$AA$29)-SUM($AA$36,$AA$42,$AA$48,$AA$54,$AA$60,$AA$66,$AA$72:$AA$79))*Parameters!$B$37/12</f>
        <v>34542.21391301734</v>
      </c>
      <c r="Q81" s="46">
        <f>(SUM($AA$18:$AA$29)-SUM($AA$36,$AA$42,$AA$48,$AA$54,$AA$60,$AA$66,$AA$72:$AA$79))*Parameters!$B$37/12</f>
        <v>34542.21391301734</v>
      </c>
      <c r="R81" s="46">
        <f>(SUM($AA$18:$AA$29)-SUM($AA$36,$AA$42,$AA$48,$AA$54,$AA$60,$AA$66,$AA$72:$AA$79))*Parameters!$B$37/12</f>
        <v>34542.21391301734</v>
      </c>
      <c r="S81" s="46">
        <f>(SUM($AA$18:$AA$29)-SUM($AA$36,$AA$42,$AA$48,$AA$54,$AA$60,$AA$66,$AA$72:$AA$79))*Parameters!$B$37/12</f>
        <v>34542.21391301734</v>
      </c>
      <c r="T81" s="46">
        <f>(SUM($AA$18:$AA$29)-SUM($AA$36,$AA$42,$AA$48,$AA$54,$AA$60,$AA$66,$AA$72:$AA$79))*Parameters!$B$37/12</f>
        <v>34542.21391301734</v>
      </c>
      <c r="U81" s="46">
        <f>(SUM($AA$18:$AA$29)-SUM($AA$36,$AA$42,$AA$48,$AA$54,$AA$60,$AA$66,$AA$72:$AA$79))*Parameters!$B$37/12</f>
        <v>34542.21391301734</v>
      </c>
      <c r="V81" s="46">
        <f>(SUM($AA$18:$AA$29)-SUM($AA$36,$AA$42,$AA$48,$AA$54,$AA$60,$AA$66,$AA$72:$AA$79))*Parameters!$B$37/12</f>
        <v>34542.21391301734</v>
      </c>
      <c r="W81" s="46">
        <f>(SUM($AA$18:$AA$29)-SUM($AA$36,$AA$42,$AA$48,$AA$54,$AA$60,$AA$66,$AA$72:$AA$79))*Parameters!$B$37/12</f>
        <v>34542.21391301734</v>
      </c>
      <c r="X81" s="46">
        <f>(SUM($AA$18:$AA$29)-SUM($AA$36,$AA$42,$AA$48,$AA$54,$AA$60,$AA$66,$AA$72:$AA$79))*Parameters!$B$37/12</f>
        <v>34542.21391301734</v>
      </c>
      <c r="Y81" s="46">
        <f>(SUM($AA$18:$AA$29)-SUM($AA$36,$AA$42,$AA$48,$AA$54,$AA$60,$AA$66,$AA$72:$AA$79))*Parameters!$B$37/12</f>
        <v>34542.21391301734</v>
      </c>
      <c r="Z81" s="46">
        <f>SUMIF($B$13:$Y$13,"Yes",B81:Y81)</f>
        <v>449048.7808692255</v>
      </c>
      <c r="AA81" s="46">
        <f>SUM(B81:M81)</f>
        <v>414506.5669562081</v>
      </c>
      <c r="AB81" s="46">
        <f>SUM(B81:Y81)</f>
        <v>829013.1339124159</v>
      </c>
    </row>
    <row r="82" spans="1:30">
      <c r="A82" s="16" t="s">
        <v>52</v>
      </c>
      <c r="B82" s="46">
        <f>SUM(B83:B87)</f>
        <v>3453.203743700504</v>
      </c>
      <c r="C82" s="46">
        <f>SUM(C83:C87)</f>
        <v>3453.203743700504</v>
      </c>
      <c r="D82" s="46">
        <f>SUM(D83:D87)</f>
        <v>3453.203743700504</v>
      </c>
      <c r="E82" s="46">
        <f>SUM(E83:E87)</f>
        <v>3453.203743700504</v>
      </c>
      <c r="F82" s="46">
        <f>SUM(F83:F87)</f>
        <v>3453.203743700504</v>
      </c>
      <c r="G82" s="46">
        <f>SUM(G83:G87)</f>
        <v>3453.203743700504</v>
      </c>
      <c r="H82" s="46">
        <f>SUM(H83:H87)</f>
        <v>3453.203743700504</v>
      </c>
      <c r="I82" s="46">
        <f>SUM(I83:I87)</f>
        <v>3453.203743700504</v>
      </c>
      <c r="J82" s="46">
        <f>SUM(J83:J87)</f>
        <v>3453.203743700504</v>
      </c>
      <c r="K82" s="46">
        <f>SUM(K83:K87)</f>
        <v>3453.203743700504</v>
      </c>
      <c r="L82" s="46">
        <f>SUM(L83:L87)</f>
        <v>3453.203743700504</v>
      </c>
      <c r="M82" s="46">
        <f>SUM(M83:M87)</f>
        <v>3453.203743700504</v>
      </c>
      <c r="N82" s="46">
        <f>SUM(N83:N87)</f>
        <v>3453.203743700504</v>
      </c>
      <c r="O82" s="46">
        <f>SUM(O83:O87)</f>
        <v>3453.203743700504</v>
      </c>
      <c r="P82" s="46">
        <f>SUM(P83:P87)</f>
        <v>3453.203743700504</v>
      </c>
      <c r="Q82" s="46">
        <f>SUM(Q83:Q87)</f>
        <v>3453.203743700504</v>
      </c>
      <c r="R82" s="46">
        <f>SUM(R83:R87)</f>
        <v>3453.203743700504</v>
      </c>
      <c r="S82" s="46">
        <f>SUM(S83:S87)</f>
        <v>3453.203743700504</v>
      </c>
      <c r="T82" s="46">
        <f>SUM(T83:T87)</f>
        <v>3453.203743700504</v>
      </c>
      <c r="U82" s="46">
        <f>SUM(U83:U87)</f>
        <v>3453.203743700504</v>
      </c>
      <c r="V82" s="46">
        <f>SUM(V83:V87)</f>
        <v>3453.203743700504</v>
      </c>
      <c r="W82" s="46">
        <f>SUM(W83:W87)</f>
        <v>3453.203743700504</v>
      </c>
      <c r="X82" s="46">
        <f>SUM(X83:X87)</f>
        <v>3453.203743700504</v>
      </c>
      <c r="Y82" s="46">
        <f>SUM(Y83:Y87)</f>
        <v>3453.203743700504</v>
      </c>
      <c r="Z82" s="46">
        <f>SUMIF($B$13:$Y$13,"Yes",B82:Y82)</f>
        <v>44891.64866810657</v>
      </c>
      <c r="AA82" s="46">
        <f>SUM(B82:M82)</f>
        <v>41438.44492440606</v>
      </c>
      <c r="AB82" s="46">
        <f>SUM(B82:Y82)</f>
        <v>82876.88984881212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3453.203743700504</v>
      </c>
      <c r="C83" s="46">
        <f>IF(Calculations!$E23&gt;COUNT(Output!$B$35:C$35),Calculations!$B23,IF(Calculations!$E23=COUNT(Output!$B$35:C$35),Inputs!$B56-Calculations!$C23*(Calculations!$E23-1)+Calculations!$D23,0))</f>
        <v>3453.203743700504</v>
      </c>
      <c r="D83" s="46">
        <f>IF(Calculations!$E23&gt;COUNT(Output!$B$35:D$35),Calculations!$B23,IF(Calculations!$E23=COUNT(Output!$B$35:D$35),Inputs!$B56-Calculations!$C23*(Calculations!$E23-1)+Calculations!$D23,0))</f>
        <v>3453.203743700504</v>
      </c>
      <c r="E83" s="46">
        <f>IF(Calculations!$E23&gt;COUNT(Output!$B$35:E$35),Calculations!$B23,IF(Calculations!$E23=COUNT(Output!$B$35:E$35),Inputs!$B56-Calculations!$C23*(Calculations!$E23-1)+Calculations!$D23,0))</f>
        <v>3453.203743700504</v>
      </c>
      <c r="F83" s="46">
        <f>IF(Calculations!$E23&gt;COUNT(Output!$B$35:F$35),Calculations!$B23,IF(Calculations!$E23=COUNT(Output!$B$35:F$35),Inputs!$B56-Calculations!$C23*(Calculations!$E23-1)+Calculations!$D23,0))</f>
        <v>3453.203743700504</v>
      </c>
      <c r="G83" s="46">
        <f>IF(Calculations!$E23&gt;COUNT(Output!$B$35:G$35),Calculations!$B23,IF(Calculations!$E23=COUNT(Output!$B$35:G$35),Inputs!$B56-Calculations!$C23*(Calculations!$E23-1)+Calculations!$D23,0))</f>
        <v>3453.203743700504</v>
      </c>
      <c r="H83" s="46">
        <f>IF(Calculations!$E23&gt;COUNT(Output!$B$35:H$35),Calculations!$B23,IF(Calculations!$E23=COUNT(Output!$B$35:H$35),Inputs!$B56-Calculations!$C23*(Calculations!$E23-1)+Calculations!$D23,0))</f>
        <v>3453.203743700504</v>
      </c>
      <c r="I83" s="46">
        <f>IF(Calculations!$E23&gt;COUNT(Output!$B$35:I$35),Calculations!$B23,IF(Calculations!$E23=COUNT(Output!$B$35:I$35),Inputs!$B56-Calculations!$C23*(Calculations!$E23-1)+Calculations!$D23,0))</f>
        <v>3453.203743700504</v>
      </c>
      <c r="J83" s="46">
        <f>IF(Calculations!$E23&gt;COUNT(Output!$B$35:J$35),Calculations!$B23,IF(Calculations!$E23=COUNT(Output!$B$35:J$35),Inputs!$B56-Calculations!$C23*(Calculations!$E23-1)+Calculations!$D23,0))</f>
        <v>3453.203743700504</v>
      </c>
      <c r="K83" s="46">
        <f>IF(Calculations!$E23&gt;COUNT(Output!$B$35:K$35),Calculations!$B23,IF(Calculations!$E23=COUNT(Output!$B$35:K$35),Inputs!$B56-Calculations!$C23*(Calculations!$E23-1)+Calculations!$D23,0))</f>
        <v>3453.203743700504</v>
      </c>
      <c r="L83" s="46">
        <f>IF(Calculations!$E23&gt;COUNT(Output!$B$35:L$35),Calculations!$B23,IF(Calculations!$E23=COUNT(Output!$B$35:L$35),Inputs!$B56-Calculations!$C23*(Calculations!$E23-1)+Calculations!$D23,0))</f>
        <v>3453.203743700504</v>
      </c>
      <c r="M83" s="46">
        <f>IF(Calculations!$E23&gt;COUNT(Output!$B$35:M$35),Calculations!$B23,IF(Calculations!$E23=COUNT(Output!$B$35:M$35),Inputs!$B56-Calculations!$C23*(Calculations!$E23-1)+Calculations!$D23,0))</f>
        <v>3453.203743700504</v>
      </c>
      <c r="N83" s="46">
        <f>IF(Calculations!$E23&gt;COUNT(Output!$B$35:N$35),Calculations!$B23,IF(Calculations!$E23=COUNT(Output!$B$35:N$35),Inputs!$B56-Calculations!$C23*(Calculations!$E23-1)+Calculations!$D23,0))</f>
        <v>3453.203743700504</v>
      </c>
      <c r="O83" s="46">
        <f>IF(Calculations!$E23&gt;COUNT(Output!$B$35:O$35),Calculations!$B23,IF(Calculations!$E23=COUNT(Output!$B$35:O$35),Inputs!$B56-Calculations!$C23*(Calculations!$E23-1)+Calculations!$D23,0))</f>
        <v>3453.203743700504</v>
      </c>
      <c r="P83" s="46">
        <f>IF(Calculations!$E23&gt;COUNT(Output!$B$35:P$35),Calculations!$B23,IF(Calculations!$E23=COUNT(Output!$B$35:P$35),Inputs!$B56-Calculations!$C23*(Calculations!$E23-1)+Calculations!$D23,0))</f>
        <v>3453.203743700504</v>
      </c>
      <c r="Q83" s="46">
        <f>IF(Calculations!$E23&gt;COUNT(Output!$B$35:Q$35),Calculations!$B23,IF(Calculations!$E23=COUNT(Output!$B$35:Q$35),Inputs!$B56-Calculations!$C23*(Calculations!$E23-1)+Calculations!$D23,0))</f>
        <v>3453.203743700504</v>
      </c>
      <c r="R83" s="46">
        <f>IF(Calculations!$E23&gt;COUNT(Output!$B$35:R$35),Calculations!$B23,IF(Calculations!$E23=COUNT(Output!$B$35:R$35),Inputs!$B56-Calculations!$C23*(Calculations!$E23-1)+Calculations!$D23,0))</f>
        <v>3453.203743700504</v>
      </c>
      <c r="S83" s="46">
        <f>IF(Calculations!$E23&gt;COUNT(Output!$B$35:S$35),Calculations!$B23,IF(Calculations!$E23=COUNT(Output!$B$35:S$35),Inputs!$B56-Calculations!$C23*(Calculations!$E23-1)+Calculations!$D23,0))</f>
        <v>3453.203743700504</v>
      </c>
      <c r="T83" s="46">
        <f>IF(Calculations!$E23&gt;COUNT(Output!$B$35:T$35),Calculations!$B23,IF(Calculations!$E23=COUNT(Output!$B$35:T$35),Inputs!$B56-Calculations!$C23*(Calculations!$E23-1)+Calculations!$D23,0))</f>
        <v>3453.203743700504</v>
      </c>
      <c r="U83" s="46">
        <f>IF(Calculations!$E23&gt;COUNT(Output!$B$35:U$35),Calculations!$B23,IF(Calculations!$E23=COUNT(Output!$B$35:U$35),Inputs!$B56-Calculations!$C23*(Calculations!$E23-1)+Calculations!$D23,0))</f>
        <v>3453.203743700504</v>
      </c>
      <c r="V83" s="46">
        <f>IF(Calculations!$E23&gt;COUNT(Output!$B$35:V$35),Calculations!$B23,IF(Calculations!$E23=COUNT(Output!$B$35:V$35),Inputs!$B56-Calculations!$C23*(Calculations!$E23-1)+Calculations!$D23,0))</f>
        <v>3453.203743700504</v>
      </c>
      <c r="W83" s="46">
        <f>IF(Calculations!$E23&gt;COUNT(Output!$B$35:W$35),Calculations!$B23,IF(Calculations!$E23=COUNT(Output!$B$35:W$35),Inputs!$B56-Calculations!$C23*(Calculations!$E23-1)+Calculations!$D23,0))</f>
        <v>3453.203743700504</v>
      </c>
      <c r="X83" s="46">
        <f>IF(Calculations!$E23&gt;COUNT(Output!$B$35:X$35),Calculations!$B23,IF(Calculations!$E23=COUNT(Output!$B$35:X$35),Inputs!$B56-Calculations!$C23*(Calculations!$E23-1)+Calculations!$D23,0))</f>
        <v>3453.203743700504</v>
      </c>
      <c r="Y83" s="46">
        <f>IF(Calculations!$E23&gt;COUNT(Output!$B$35:Y$35),Calculations!$B23,IF(Calculations!$E23=COUNT(Output!$B$35:Y$35),Inputs!$B56-Calculations!$C23*(Calculations!$E23-1)+Calculations!$D23,0))</f>
        <v>3453.203743700504</v>
      </c>
      <c r="Z83" s="46">
        <f>SUMIF($B$13:$Y$13,"Yes",B83:Y83)</f>
        <v>44891.64866810657</v>
      </c>
      <c r="AA83" s="46">
        <f>SUM(B83:M83)</f>
        <v>41438.44492440606</v>
      </c>
      <c r="AB83" s="46">
        <f>SUM(B83:Y83)</f>
        <v>82876.88984881212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82607.31824151317</v>
      </c>
      <c r="C88" s="19">
        <f>SUM(C72:C82,C66,C60,C54,C48,C42,C36)</f>
        <v>133576.7180048816</v>
      </c>
      <c r="D88" s="19">
        <f>SUM(D72:D82,D66,D60,D54,D48,D42,D36)</f>
        <v>74796.60395579888</v>
      </c>
      <c r="E88" s="19">
        <f>SUM(E72:E82,E66,E60,E54,E48,E42,E36)</f>
        <v>180396.6039557989</v>
      </c>
      <c r="F88" s="19">
        <f>SUM(F72:F82,F66,F60,F54,F48,F42,F36)</f>
        <v>74796.60395579888</v>
      </c>
      <c r="G88" s="19">
        <f>SUM(G72:G82,G66,G60,G54,G48,G42,G36)</f>
        <v>68721.60395579888</v>
      </c>
      <c r="H88" s="19">
        <f>SUM(H72:H82,H66,H60,H54,H48,H42,H36)</f>
        <v>68721.60395579888</v>
      </c>
      <c r="I88" s="19">
        <f>SUM(I72:I82,I66,I60,I54,I48,I42,I36)</f>
        <v>92924.31824151317</v>
      </c>
      <c r="J88" s="19">
        <f>SUM(J72:J82,J66,J60,J54,J48,J42,J36)</f>
        <v>88682.31824151317</v>
      </c>
      <c r="K88" s="19">
        <f>SUM(K72:K82,K66,K60,K54,K48,K42,K36)</f>
        <v>94282.31824151317</v>
      </c>
      <c r="L88" s="19">
        <f>SUM(L72:L82,L66,L60,L54,L48,L42,L36)</f>
        <v>91682.31824151317</v>
      </c>
      <c r="M88" s="19">
        <f>SUM(M72:M82,M66,M60,M54,M48,M42,M36)</f>
        <v>82607.31824151317</v>
      </c>
      <c r="N88" s="19">
        <f>SUM(N72:N82,N66,N60,N54,N48,N42,N36)</f>
        <v>82607.31824151317</v>
      </c>
      <c r="O88" s="19">
        <f>SUM(O72:O82,O66,O60,O54,O48,O42,O36)</f>
        <v>133576.7180048816</v>
      </c>
      <c r="P88" s="19">
        <f>SUM(P72:P82,P66,P60,P54,P48,P42,P36)</f>
        <v>74796.60395579888</v>
      </c>
      <c r="Q88" s="19">
        <f>SUM(Q72:Q82,Q66,Q60,Q54,Q48,Q42,Q36)</f>
        <v>80396.60395579888</v>
      </c>
      <c r="R88" s="19">
        <f>SUM(R72:R82,R66,R60,R54,R48,R42,R36)</f>
        <v>74796.60395579888</v>
      </c>
      <c r="S88" s="19">
        <f>SUM(S72:S82,S66,S60,S54,S48,S42,S36)</f>
        <v>68721.60395579888</v>
      </c>
      <c r="T88" s="19">
        <f>SUM(T72:T82,T66,T60,T54,T48,T42,T36)</f>
        <v>68721.60395579888</v>
      </c>
      <c r="U88" s="19">
        <f>SUM(U72:U82,U66,U60,U54,U48,U42,U36)</f>
        <v>92924.31824151317</v>
      </c>
      <c r="V88" s="19">
        <f>SUM(V72:V82,V66,V60,V54,V48,V42,V36)</f>
        <v>88682.31824151317</v>
      </c>
      <c r="W88" s="19">
        <f>SUM(W72:W82,W66,W60,W54,W48,W42,W36)</f>
        <v>94282.31824151317</v>
      </c>
      <c r="X88" s="19">
        <f>SUM(X72:X82,X66,X60,X54,X48,X42,X36)</f>
        <v>91682.31824151317</v>
      </c>
      <c r="Y88" s="19">
        <f>SUM(Y72:Y82,Y66,Y60,Y54,Y48,Y42,Y36)</f>
        <v>82607.31824151317</v>
      </c>
      <c r="Z88" s="19">
        <f>SUMIF($B$13:$Y$13,"Yes",B88:Y88)</f>
        <v>1216402.965474468</v>
      </c>
      <c r="AA88" s="19">
        <f>SUM(B88:M88)</f>
        <v>1133795.647232955</v>
      </c>
      <c r="AB88" s="19">
        <f>SUM(B88:Y88)</f>
        <v>2167591.294465909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2045000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2450000</v>
      </c>
    </row>
    <row r="98" spans="1:30">
      <c r="A98" t="s">
        <v>64</v>
      </c>
      <c r="B98" s="36">
        <f>IF(Inputs!B44="Yes",Inputs!B45,0)</f>
        <v>400000</v>
      </c>
    </row>
    <row r="99" spans="1:30">
      <c r="A99" t="s">
        <v>65</v>
      </c>
      <c r="B99" s="36">
        <f>Inputs!B46</f>
        <v>600000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5745000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7000</v>
      </c>
    </row>
    <row r="105" spans="1:30">
      <c r="A105" t="s">
        <v>70</v>
      </c>
      <c r="B105" s="36">
        <f>SUM(Inputs!B56:B60)</f>
        <v>50000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157000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5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10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100</v>
      </c>
      <c r="D19" s="145">
        <v>25</v>
      </c>
      <c r="E19" s="20"/>
      <c r="F19" s="145" t="s">
        <v>92</v>
      </c>
      <c r="G19" s="20"/>
      <c r="H19" s="20"/>
      <c r="I19" s="145" t="s">
        <v>111</v>
      </c>
      <c r="J19" s="145">
        <v>5</v>
      </c>
      <c r="K19" s="145">
        <v>5</v>
      </c>
      <c r="L19" s="25">
        <v>1</v>
      </c>
    </row>
    <row r="20" spans="1:48">
      <c r="A20" s="143" t="s">
        <v>112</v>
      </c>
      <c r="B20" s="16"/>
      <c r="C20" s="143">
        <v>10</v>
      </c>
      <c r="D20" s="147">
        <v>3</v>
      </c>
      <c r="E20" s="16"/>
      <c r="F20" s="147" t="s">
        <v>92</v>
      </c>
      <c r="G20" s="16"/>
      <c r="H20" s="16"/>
      <c r="I20" s="147" t="s">
        <v>111</v>
      </c>
      <c r="J20" s="147">
        <v>5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10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10000</v>
      </c>
    </row>
    <row r="31" spans="1:48">
      <c r="A31" s="5" t="s">
        <v>119</v>
      </c>
      <c r="B31" s="158">
        <v>6000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 t="s">
        <v>125</v>
      </c>
      <c r="B35" s="159">
        <v>100000</v>
      </c>
      <c r="C35" s="145" t="s">
        <v>126</v>
      </c>
      <c r="D35" s="49">
        <f>IFERROR(VLOOKUP(C35,Parameters!$C$79:$D$90,2,0),"")</f>
        <v>12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400000</v>
      </c>
    </row>
    <row r="46" spans="1:48" customHeight="1" ht="30">
      <c r="A46" s="57" t="s">
        <v>135</v>
      </c>
      <c r="B46" s="161">
        <v>600000</v>
      </c>
    </row>
    <row r="47" spans="1:48" customHeight="1" ht="30">
      <c r="A47" s="57" t="s">
        <v>136</v>
      </c>
      <c r="B47" s="161">
        <v>200000</v>
      </c>
    </row>
    <row r="48" spans="1:48" customHeight="1" ht="30">
      <c r="A48" s="57" t="s">
        <v>137</v>
      </c>
      <c r="B48" s="161">
        <v>0</v>
      </c>
    </row>
    <row r="49" spans="1:48" customHeight="1" ht="30">
      <c r="A49" s="57" t="s">
        <v>138</v>
      </c>
      <c r="B49" s="161">
        <v>50000</v>
      </c>
    </row>
    <row r="50" spans="1:48">
      <c r="A50" s="43"/>
      <c r="B50" s="36"/>
    </row>
    <row r="51" spans="1:48">
      <c r="A51" s="58" t="s">
        <v>139</v>
      </c>
      <c r="B51" s="161">
        <v>7000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100000</v>
      </c>
      <c r="B56" s="159">
        <v>50000</v>
      </c>
      <c r="C56" s="162" t="s">
        <v>147</v>
      </c>
      <c r="D56" s="163" t="s">
        <v>148</v>
      </c>
      <c r="E56" s="163" t="s">
        <v>92</v>
      </c>
      <c r="F56" s="163" t="s">
        <v>149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151</v>
      </c>
      <c r="C65" s="10" t="s">
        <v>152</v>
      </c>
    </row>
    <row r="66" spans="1:48">
      <c r="A66" s="142" t="s">
        <v>153</v>
      </c>
      <c r="B66" s="159">
        <v>750535</v>
      </c>
      <c r="C66" s="163">
        <v>50124</v>
      </c>
      <c r="D66" s="49">
        <f>INDEX(Parameters!$D$79:$D$90,MATCH(Inputs!A66,Parameters!$C$79:$C$90,0))</f>
        <v>3</v>
      </c>
    </row>
    <row r="67" spans="1:48">
      <c r="A67" s="143" t="s">
        <v>96</v>
      </c>
      <c r="B67" s="157">
        <v>807153</v>
      </c>
      <c r="C67" s="165">
        <v>607125</v>
      </c>
      <c r="D67" s="49">
        <f>INDEX(Parameters!$D$79:$D$90,MATCH(Inputs!A67,Parameters!$C$79:$C$90,0))</f>
        <v>4</v>
      </c>
    </row>
    <row r="68" spans="1:48">
      <c r="A68" s="143" t="s">
        <v>154</v>
      </c>
      <c r="B68" s="157">
        <v>96325</v>
      </c>
      <c r="C68" s="165">
        <v>80625</v>
      </c>
      <c r="D68" s="49">
        <f>INDEX(Parameters!$D$79:$D$90,MATCH(Inputs!A68,Parameters!$C$79:$C$90,0))</f>
        <v>5</v>
      </c>
    </row>
    <row r="69" spans="1:48">
      <c r="A69" s="143" t="s">
        <v>155</v>
      </c>
      <c r="B69" s="157">
        <v>111152</v>
      </c>
      <c r="C69" s="165">
        <v>80749</v>
      </c>
      <c r="D69" s="49">
        <f>INDEX(Parameters!$D$79:$D$90,MATCH(Inputs!A69,Parameters!$C$79:$C$90,0))</f>
        <v>6</v>
      </c>
    </row>
    <row r="70" spans="1:48">
      <c r="A70" s="143" t="s">
        <v>156</v>
      </c>
      <c r="B70" s="157">
        <v>70856</v>
      </c>
      <c r="C70" s="165">
        <v>39885</v>
      </c>
      <c r="D70" s="49">
        <f>INDEX(Parameters!$D$79:$D$90,MATCH(Inputs!A70,Parameters!$C$79:$C$90,0))</f>
        <v>7</v>
      </c>
    </row>
    <row r="71" spans="1:48">
      <c r="A71" s="144" t="s">
        <v>157</v>
      </c>
      <c r="B71" s="158">
        <v>88885</v>
      </c>
      <c r="C71" s="167">
        <v>96385</v>
      </c>
      <c r="D71" s="49">
        <f>INDEX(Parameters!$D$79:$D$90,MATCH(Inputs!A71,Parameters!$C$79:$C$90,0))</f>
        <v>8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14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100000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43009</v>
      </c>
      <c r="C4" s="38">
        <f>IFERROR(DATE(YEAR(B4),MONTH(B4)+ROUND(T4/2,0),DAY(B4)),B4)</f>
        <v>43070</v>
      </c>
      <c r="D4" s="38">
        <f>IFERROR(DATE(YEAR(B4),MONTH(B4)+T4,DAY(B4)),"")</f>
        <v>43101</v>
      </c>
      <c r="E4" s="38">
        <f>IFERROR(IF($S4=0,"",IF($S4=2,DATE(YEAR(B4),MONTH(B4)+6,DAY(B4)),IF($S4=1,B4,""))),"")</f>
        <v>43191</v>
      </c>
      <c r="F4" s="38">
        <f>IFERROR(IF($S4=0,"",IF($S4=2,DATE(YEAR(C4),MONTH(C4)+6,DAY(C4)),IF($S4=1,C4,""))),"")</f>
        <v>43252</v>
      </c>
      <c r="G4" s="38">
        <f>IFERROR(IF($S4=0,"",IF($S4=2,DATE(YEAR(D4),MONTH(D4)+6,DAY(D4)),IF($S4=1,D4,""))),"")</f>
        <v>43282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9022.633424063135</v>
      </c>
      <c r="M4" s="25">
        <f>L4*H4</f>
        <v>18045.26684812627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480004.0981601588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1212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5600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27000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43191</v>
      </c>
      <c r="C5" s="39">
        <f>IFERROR(DATE(YEAR(B5),MONTH(B5)+ROUND(T5/2,0),DAY(B5)),B5)</f>
        <v>43282</v>
      </c>
      <c r="D5" s="39">
        <f>IFERROR(DATE(YEAR(B5),MONTH(B5)+T5,DAY(B5)),"")</f>
        <v>43374</v>
      </c>
      <c r="E5" s="39">
        <f>IFERROR(IF($S5=0,"",IF($S5=2,DATE(YEAR(B5),MONTH(B5)+6,DAY(B5)),IF($S5=1,B5,""))),"")</f>
        <v>43191</v>
      </c>
      <c r="F5" s="39">
        <f>IFERROR(IF($S5=0,"",IF($S5=2,DATE(YEAR(C5),MONTH(C5)+6,DAY(C5)),IF($S5=1,C5,""))),"")</f>
        <v>43282</v>
      </c>
      <c r="G5" s="39">
        <f>IFERROR(IF($S5=0,"",IF($S5=2,DATE(YEAR(D5),MONTH(D5)+6,DAY(D5)),IF($S5=1,D5,""))),"")</f>
        <v>43374</v>
      </c>
      <c r="H5" s="16">
        <f>Inputs!C8</f>
        <v>5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1899.234772320367</v>
      </c>
      <c r="M5" s="30">
        <f>L5*H5</f>
        <v>9496.173861601836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179477.6859842747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6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1515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1500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21841.19988168422</v>
      </c>
      <c r="AB5" s="34">
        <f>H5*IFERROR(INDEX(Parameters!$A$3:$AI$17,MATCH(Calculations!A5,Parameters!$A$3:$A$17,0),MATCH(Parameters!$O$3,Parameters!$A$3:$AI$3,0)),AVERAGE(Parameters!$O$4:$O$17))*(1-Inputs!$B$25/100)</f>
        <v>54000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9</v>
      </c>
      <c r="AD6" s="22">
        <f>IF($A6=0,1/12,IFERROR(INDEX(Parameters!$X$2:$AI$17,MATCH(Calculations!$A6,Parameters!$A$2:$A$17,0),MONTH(Calculations!AD$3)),1/12))</f>
        <v>10</v>
      </c>
      <c r="AE6" s="22">
        <f>IF($A6=0,1/12,IFERROR(INDEX(Parameters!$X$2:$AI$17,MATCH(Calculations!$A6,Parameters!$A$2:$A$17,0),MONTH(Calculations!AE$3)),1/12))</f>
        <v>11</v>
      </c>
      <c r="AF6" s="22">
        <f>IF($A6=0,1/12,IFERROR(INDEX(Parameters!$X$2:$AI$17,MATCH(Calculations!$A6,Parameters!$A$2:$A$17,0),MONTH(Calculations!AF$3)),1/12))</f>
        <v>12</v>
      </c>
      <c r="AG6" s="22">
        <f>IF($A6=0,1/12,IFERROR(INDEX(Parameters!$X$2:$AI$17,MATCH(Calculations!$A6,Parameters!$A$2:$A$17,0),MONTH(Calculations!AG$3)),1/12))</f>
        <v>1</v>
      </c>
      <c r="AH6" s="22">
        <f>IF($A6=0,1/12,IFERROR(INDEX(Parameters!$X$2:$AI$17,MATCH(Calculations!$A6,Parameters!$A$2:$A$17,0),MONTH(Calculations!AH$3)),1/12))</f>
        <v>2</v>
      </c>
      <c r="AI6" s="22">
        <f>IF($A6=0,1/12,IFERROR(INDEX(Parameters!$X$2:$AI$17,MATCH(Calculations!$A6,Parameters!$A$2:$A$17,0),MONTH(Calculations!AI$3)),1/12))</f>
        <v>3</v>
      </c>
      <c r="AJ6" s="22">
        <f>IF($A6=0,1/12,IFERROR(INDEX(Parameters!$X$2:$AI$17,MATCH(Calculations!$A6,Parameters!$A$2:$A$17,0),MONTH(Calculations!AJ$3)),1/12))</f>
        <v>4</v>
      </c>
      <c r="AK6" s="22">
        <f>IF($A6=0,1/12,IFERROR(INDEX(Parameters!$X$2:$AI$17,MATCH(Calculations!$A6,Parameters!$A$2:$A$17,0),MONTH(Calculations!AK$3)),1/12))</f>
        <v>5</v>
      </c>
      <c r="AL6" s="22">
        <f>IF($A6=0,1/12,IFERROR(INDEX(Parameters!$X$2:$AI$17,MATCH(Calculations!$A6,Parameters!$A$2:$A$17,0),MONTH(Calculations!AL$3)),1/12))</f>
        <v>6</v>
      </c>
      <c r="AM6" s="22">
        <f>IF($A6=0,1/12,IFERROR(INDEX(Parameters!$X$2:$AI$17,MATCH(Calculations!$A6,Parameters!$A$2:$A$17,0),MONTH(Calculations!AM$3)),1/12))</f>
        <v>7</v>
      </c>
      <c r="AN6" s="22">
        <f>IF($A6=0,1/12,IFERROR(INDEX(Parameters!$X$2:$AI$17,MATCH(Calculations!$A6,Parameters!$A$2:$A$17,0),MONTH(Calculations!AN$3)),1/12))</f>
        <v>8</v>
      </c>
      <c r="AO6" s="22">
        <f>IF($A6=0,1/12,IFERROR(INDEX(Parameters!$X$2:$AI$17,MATCH(Calculations!$A6,Parameters!$A$2:$A$17,0),MONTH(Calculations!AO$3)),1/12))</f>
        <v>9</v>
      </c>
      <c r="AP6" s="22">
        <f>IF($A6=0,1/12,IFERROR(INDEX(Parameters!$X$2:$AI$17,MATCH(Calculations!$A6,Parameters!$A$2:$A$17,0),MONTH(Calculations!AP$3)),1/12))</f>
        <v>10</v>
      </c>
      <c r="AQ6" s="22">
        <f>IF($A6=0,1/12,IFERROR(INDEX(Parameters!$X$2:$AI$17,MATCH(Calculations!$A6,Parameters!$A$2:$A$17,0),MONTH(Calculations!AQ$3)),1/12))</f>
        <v>11</v>
      </c>
      <c r="AR6" s="22">
        <f>IF($A6=0,1/12,IFERROR(INDEX(Parameters!$X$2:$AI$17,MATCH(Calculations!$A6,Parameters!$A$2:$A$17,0),MONTH(Calculations!AR$3)),1/12))</f>
        <v>12</v>
      </c>
      <c r="AS6" s="22">
        <f>IF($A6=0,1/12,IFERROR(INDEX(Parameters!$X$2:$AI$17,MATCH(Calculations!$A6,Parameters!$A$2:$A$17,0),MONTH(Calculations!AS$3)),1/12))</f>
        <v>1</v>
      </c>
      <c r="AT6" s="22">
        <f>IF($A6=0,1/12,IFERROR(INDEX(Parameters!$X$2:$AI$17,MATCH(Calculations!$A6,Parameters!$A$2:$A$17,0),MONTH(Calculations!AT$3)),1/12))</f>
        <v>2</v>
      </c>
      <c r="AU6" s="22">
        <f>IF($A6=0,1/12,IFERROR(INDEX(Parameters!$X$2:$AI$17,MATCH(Calculations!$A6,Parameters!$A$2:$A$17,0),MONTH(Calculations!AU$3)),1/12))</f>
        <v>3</v>
      </c>
      <c r="AV6" s="22">
        <f>IF($A6=0,1/12,IFERROR(INDEX(Parameters!$X$2:$AI$17,MATCH(Calculations!$A6,Parameters!$A$2:$A$17,0),MONTH(Calculations!AV$3)),1/12))</f>
        <v>4</v>
      </c>
      <c r="AW6" s="22">
        <f>IF($A6=0,1/12,IFERROR(INDEX(Parameters!$X$2:$AI$17,MATCH(Calculations!$A6,Parameters!$A$2:$A$17,0),MONTH(Calculations!AW$3)),1/12))</f>
        <v>5</v>
      </c>
      <c r="AX6" s="22">
        <f>IF($A6=0,1/12,IFERROR(INDEX(Parameters!$X$2:$AI$17,MATCH(Calculations!$A6,Parameters!$A$2:$A$17,0),MONTH(Calculations!AX$3)),1/12))</f>
        <v>6</v>
      </c>
      <c r="AY6" s="22">
        <f>IF($A6=0,1/12,IFERROR(INDEX(Parameters!$X$2:$AI$17,MATCH(Calculations!$A6,Parameters!$A$2:$A$17,0),MONTH(Calculations!AY$3)),1/12))</f>
        <v>7</v>
      </c>
      <c r="AZ6" s="22">
        <f>IF($A6=0,1/12,IFERROR(INDEX(Parameters!$X$2:$AI$17,MATCH(Calculations!$A6,Parameters!$A$2:$A$17,0),MONTH(Calculations!AZ$3)),1/12))</f>
        <v>8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9</v>
      </c>
      <c r="AD7" s="22">
        <f>IF($A7=0,1/12,IFERROR(INDEX(Parameters!$X$2:$AI$17,MATCH(Calculations!$A7,Parameters!$A$2:$A$17,0),MONTH(Calculations!AD$3)),1/12))</f>
        <v>10</v>
      </c>
      <c r="AE7" s="22">
        <f>IF($A7=0,1/12,IFERROR(INDEX(Parameters!$X$2:$AI$17,MATCH(Calculations!$A7,Parameters!$A$2:$A$17,0),MONTH(Calculations!AE$3)),1/12))</f>
        <v>11</v>
      </c>
      <c r="AF7" s="22">
        <f>IF($A7=0,1/12,IFERROR(INDEX(Parameters!$X$2:$AI$17,MATCH(Calculations!$A7,Parameters!$A$2:$A$17,0),MONTH(Calculations!AF$3)),1/12))</f>
        <v>12</v>
      </c>
      <c r="AG7" s="22">
        <f>IF($A7=0,1/12,IFERROR(INDEX(Parameters!$X$2:$AI$17,MATCH(Calculations!$A7,Parameters!$A$2:$A$17,0),MONTH(Calculations!AG$3)),1/12))</f>
        <v>1</v>
      </c>
      <c r="AH7" s="22">
        <f>IF($A7=0,1/12,IFERROR(INDEX(Parameters!$X$2:$AI$17,MATCH(Calculations!$A7,Parameters!$A$2:$A$17,0),MONTH(Calculations!AH$3)),1/12))</f>
        <v>2</v>
      </c>
      <c r="AI7" s="22">
        <f>IF($A7=0,1/12,IFERROR(INDEX(Parameters!$X$2:$AI$17,MATCH(Calculations!$A7,Parameters!$A$2:$A$17,0),MONTH(Calculations!AI$3)),1/12))</f>
        <v>3</v>
      </c>
      <c r="AJ7" s="22">
        <f>IF($A7=0,1/12,IFERROR(INDEX(Parameters!$X$2:$AI$17,MATCH(Calculations!$A7,Parameters!$A$2:$A$17,0),MONTH(Calculations!AJ$3)),1/12))</f>
        <v>4</v>
      </c>
      <c r="AK7" s="22">
        <f>IF($A7=0,1/12,IFERROR(INDEX(Parameters!$X$2:$AI$17,MATCH(Calculations!$A7,Parameters!$A$2:$A$17,0),MONTH(Calculations!AK$3)),1/12))</f>
        <v>5</v>
      </c>
      <c r="AL7" s="22">
        <f>IF($A7=0,1/12,IFERROR(INDEX(Parameters!$X$2:$AI$17,MATCH(Calculations!$A7,Parameters!$A$2:$A$17,0),MONTH(Calculations!AL$3)),1/12))</f>
        <v>6</v>
      </c>
      <c r="AM7" s="22">
        <f>IF($A7=0,1/12,IFERROR(INDEX(Parameters!$X$2:$AI$17,MATCH(Calculations!$A7,Parameters!$A$2:$A$17,0),MONTH(Calculations!AM$3)),1/12))</f>
        <v>7</v>
      </c>
      <c r="AN7" s="22">
        <f>IF($A7=0,1/12,IFERROR(INDEX(Parameters!$X$2:$AI$17,MATCH(Calculations!$A7,Parameters!$A$2:$A$17,0),MONTH(Calculations!AN$3)),1/12))</f>
        <v>8</v>
      </c>
      <c r="AO7" s="22">
        <f>IF($A7=0,1/12,IFERROR(INDEX(Parameters!$X$2:$AI$17,MATCH(Calculations!$A7,Parameters!$A$2:$A$17,0),MONTH(Calculations!AO$3)),1/12))</f>
        <v>9</v>
      </c>
      <c r="AP7" s="22">
        <f>IF($A7=0,1/12,IFERROR(INDEX(Parameters!$X$2:$AI$17,MATCH(Calculations!$A7,Parameters!$A$2:$A$17,0),MONTH(Calculations!AP$3)),1/12))</f>
        <v>10</v>
      </c>
      <c r="AQ7" s="22">
        <f>IF($A7=0,1/12,IFERROR(INDEX(Parameters!$X$2:$AI$17,MATCH(Calculations!$A7,Parameters!$A$2:$A$17,0),MONTH(Calculations!AQ$3)),1/12))</f>
        <v>11</v>
      </c>
      <c r="AR7" s="22">
        <f>IF($A7=0,1/12,IFERROR(INDEX(Parameters!$X$2:$AI$17,MATCH(Calculations!$A7,Parameters!$A$2:$A$17,0),MONTH(Calculations!AR$3)),1/12))</f>
        <v>12</v>
      </c>
      <c r="AS7" s="22">
        <f>IF($A7=0,1/12,IFERROR(INDEX(Parameters!$X$2:$AI$17,MATCH(Calculations!$A7,Parameters!$A$2:$A$17,0),MONTH(Calculations!AS$3)),1/12))</f>
        <v>1</v>
      </c>
      <c r="AT7" s="22">
        <f>IF($A7=0,1/12,IFERROR(INDEX(Parameters!$X$2:$AI$17,MATCH(Calculations!$A7,Parameters!$A$2:$A$17,0),MONTH(Calculations!AT$3)),1/12))</f>
        <v>2</v>
      </c>
      <c r="AU7" s="22">
        <f>IF($A7=0,1/12,IFERROR(INDEX(Parameters!$X$2:$AI$17,MATCH(Calculations!$A7,Parameters!$A$2:$A$17,0),MONTH(Calculations!AU$3)),1/12))</f>
        <v>3</v>
      </c>
      <c r="AV7" s="22">
        <f>IF($A7=0,1/12,IFERROR(INDEX(Parameters!$X$2:$AI$17,MATCH(Calculations!$A7,Parameters!$A$2:$A$17,0),MONTH(Calculations!AV$3)),1/12))</f>
        <v>4</v>
      </c>
      <c r="AW7" s="22">
        <f>IF($A7=0,1/12,IFERROR(INDEX(Parameters!$X$2:$AI$17,MATCH(Calculations!$A7,Parameters!$A$2:$A$17,0),MONTH(Calculations!AW$3)),1/12))</f>
        <v>5</v>
      </c>
      <c r="AX7" s="22">
        <f>IF($A7=0,1/12,IFERROR(INDEX(Parameters!$X$2:$AI$17,MATCH(Calculations!$A7,Parameters!$A$2:$A$17,0),MONTH(Calculations!AX$3)),1/12))</f>
        <v>6</v>
      </c>
      <c r="AY7" s="22">
        <f>IF($A7=0,1/12,IFERROR(INDEX(Parameters!$X$2:$AI$17,MATCH(Calculations!$A7,Parameters!$A$2:$A$17,0),MONTH(Calculations!AY$3)),1/12))</f>
        <v>7</v>
      </c>
      <c r="AZ7" s="22">
        <f>IF($A7=0,1/12,IFERROR(INDEX(Parameters!$X$2:$AI$17,MATCH(Calculations!$A7,Parameters!$A$2:$A$17,0),MONTH(Calculations!AZ$3)),1/12))</f>
        <v>8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100</v>
      </c>
      <c r="E14" s="16">
        <f>Inputs!D19</f>
        <v>25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36500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853.3333333333334</v>
      </c>
      <c r="S14" s="63">
        <f>IFERROR(D14*INDEX(Parameters!$A$22:$P$29,MATCH(Calculations!$A14,Parameters!$A$22:$A$29,0),MATCH(Parameters!$N$22,Parameters!$A$22:$P$22,0)),"")</f>
        <v>6860.902255639096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10</v>
      </c>
      <c r="E15" s="16">
        <f>Inputs!D20</f>
        <v>3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8.333333333333334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25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780187.5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182500</v>
      </c>
      <c r="R15" s="64">
        <f>IFERROR(D15*INDEX(Parameters!$A$22:$P$29,MATCH(Calculations!$A15,Parameters!$A$22:$A$29,0),MATCH(Parameters!$M$22,Parameters!$A$22:$P$22,0)),"")</f>
        <v>10000</v>
      </c>
      <c r="S15" s="64">
        <f>IFERROR(D15*INDEX(Parameters!$A$22:$P$29,MATCH(Calculations!$A15,Parameters!$A$22:$A$29,0),MATCH(Parameters!$N$22,Parameters!$A$22:$P$22,0)),"")</f>
        <v>60000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43497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17500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100000</v>
      </c>
      <c r="B23" s="75">
        <f>SUM(C23:D23)</f>
        <v>3453.203743700504</v>
      </c>
      <c r="C23" s="75">
        <f>IF(Inputs!B56&gt;0,(Inputs!A56-Inputs!B56)/(DATE(YEAR(Inputs!$B$76),MONTH(Inputs!$B$76),DAY(Inputs!$B$76))-DATE(YEAR(Inputs!C56),MONTH(Inputs!C56),DAY(Inputs!C56)))*30,0)</f>
        <v>1619.870410367171</v>
      </c>
      <c r="D23" s="75">
        <f>IF(Inputs!B56&gt;0,Inputs!A56*0.22/12,0)</f>
        <v>1833.333333333333</v>
      </c>
      <c r="E23" s="75">
        <f>IFERROR(ROUNDUP(Inputs!B56/C23,0),0)</f>
        <v>31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43026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43009</v>
      </c>
      <c r="F33" t="s">
        <v>163</v>
      </c>
      <c r="G33" s="128">
        <f>IF(Inputs!B79="","",DATE(YEAR(Inputs!B79),MONTH(Inputs!B79),DAY(Inputs!B79)))</f>
        <v>42996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43057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43040</v>
      </c>
      <c r="F34" t="s">
        <v>164</v>
      </c>
      <c r="G34" s="128">
        <f>IF(Inputs!B80="","",DATE(YEAR(Inputs!B80),MONTH(Inputs!B80),DAY(Inputs!B80)))</f>
        <v>43026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43087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43070</v>
      </c>
      <c r="F35" t="s">
        <v>166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43118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43101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43149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43132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43177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43160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43208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43191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43238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43221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43269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43252</v>
      </c>
      <c r="F41" t="s">
        <v>230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43299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43282</v>
      </c>
      <c r="F42" t="s">
        <v>231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43330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43361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204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110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112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298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298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298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298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110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112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315</v>
      </c>
      <c r="H52" s="12" t="s">
        <v>132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232</v>
      </c>
      <c r="E53" s="10" t="s">
        <v>191</v>
      </c>
      <c r="F53" s="10" t="s">
        <v>251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169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228</v>
      </c>
      <c r="J76" s="11" t="s">
        <v>349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93</v>
      </c>
      <c r="F77" s="12" t="s">
        <v>93</v>
      </c>
      <c r="G77" s="12" t="s">
        <v>351</v>
      </c>
      <c r="H77" s="12" t="s">
        <v>132</v>
      </c>
      <c r="I77" s="12" t="s">
        <v>352</v>
      </c>
      <c r="J77" s="136" t="s">
        <v>353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357</v>
      </c>
      <c r="H78" s="12" t="s">
        <v>316</v>
      </c>
      <c r="I78" s="12" t="s">
        <v>358</v>
      </c>
      <c r="J78" s="70" t="s">
        <v>359</v>
      </c>
      <c r="K78" s="12" t="s">
        <v>93</v>
      </c>
      <c r="AJ78" s="12"/>
    </row>
    <row r="79" spans="1:36">
      <c r="B79" s="176">
        <v>10</v>
      </c>
      <c r="C79" s="12" t="s">
        <v>360</v>
      </c>
      <c r="D79" s="12">
        <v>1</v>
      </c>
      <c r="E79" s="12" t="s">
        <v>361</v>
      </c>
      <c r="F79" s="12" t="s">
        <v>362</v>
      </c>
      <c r="G79" s="12" t="s">
        <v>111</v>
      </c>
      <c r="I79" s="12" t="s">
        <v>169</v>
      </c>
      <c r="J79" s="70" t="s">
        <v>363</v>
      </c>
      <c r="K79" s="12" t="s">
        <v>93</v>
      </c>
      <c r="AJ79" s="12"/>
    </row>
    <row r="80" spans="1:36">
      <c r="B80" s="176">
        <v>20</v>
      </c>
      <c r="C80" s="12" t="s">
        <v>364</v>
      </c>
      <c r="D80" s="12">
        <f>D79+1</f>
        <v>2</v>
      </c>
      <c r="E80" s="12" t="s">
        <v>365</v>
      </c>
      <c r="F80" s="12" t="s">
        <v>366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153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96</v>
      </c>
      <c r="D82" s="12">
        <f>D81+1</f>
        <v>4</v>
      </c>
      <c r="J82" s="70"/>
    </row>
    <row r="83" spans="1:36">
      <c r="B83" s="176">
        <v>50</v>
      </c>
      <c r="C83" s="12" t="s">
        <v>154</v>
      </c>
      <c r="D83" s="12">
        <f>D82+1</f>
        <v>5</v>
      </c>
    </row>
    <row r="84" spans="1:36">
      <c r="B84" s="176">
        <v>60</v>
      </c>
      <c r="C84" s="12" t="s">
        <v>155</v>
      </c>
      <c r="D84" s="12">
        <f>D83+1</f>
        <v>6</v>
      </c>
    </row>
    <row r="85" spans="1:36">
      <c r="B85" s="176">
        <v>70</v>
      </c>
      <c r="C85" s="12" t="s">
        <v>156</v>
      </c>
      <c r="D85" s="12">
        <f>D84+1</f>
        <v>7</v>
      </c>
    </row>
    <row r="86" spans="1:36">
      <c r="B86" s="176">
        <v>80</v>
      </c>
      <c r="C86" s="12" t="s">
        <v>157</v>
      </c>
      <c r="D86" s="12">
        <f>D85+1</f>
        <v>8</v>
      </c>
    </row>
    <row r="87" spans="1:36">
      <c r="B87" s="176">
        <v>89.99999999999999</v>
      </c>
      <c r="C87" s="12" t="s">
        <v>368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369</v>
      </c>
      <c r="D89" s="12">
        <f>D88+1</f>
        <v>11</v>
      </c>
    </row>
    <row r="90" spans="1:36">
      <c r="C90" s="12" t="s">
        <v>126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