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<sst xmlns="http://schemas.openxmlformats.org/spreadsheetml/2006/main" uniqueCount="372">
  <si>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</si>
  <si>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</si>
  <si>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</si>
  <si>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</si>
  <si>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</si>
  <si>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</si>
  <si>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</si>
  <si>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</si>
  <si>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</si>
  <si>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</si>
  <si>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</si>
  <si>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</si>
  <si>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</si>
  <si>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</si>
  <si>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</si>
  <si>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</si>
  <si>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</si>
  <si>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</si>
  <si>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</si>
  <si>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</si>
  <si>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</si>
  <si>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</si>
  <si>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</si>
  <si>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</si>
  <si>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</si>
  <si>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</si>
  <si>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</si>
  <si>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</si>
  <si>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</si>
  <si>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</si>
  <si>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</si>
  <si>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</si>
  <si>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</si>
  <si>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</si>
  <si>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</si>
  <si>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</si>
  <si>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</si>
  <si>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</si>
  <si>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</si>
  <si>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</si>
  <si>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</si>
  <si>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</si>
  <si>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</si>
  <si>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</si>
  <si>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</si>
  <si>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</si>
  <si>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</si>
  <si>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</si>
  <si>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</si>
  <si>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</si>
  <si>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</si>
  <si>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</si>
  <si>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</si>
  <si>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</si>
  <si>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</si>
  <si>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</si>
  <si>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</si>
  <si>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</si>
  <si>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</si>
  <si>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</si>
  <si>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</si>
  <si>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</si>
  <si>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</si>
  <si>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</si>
  <si>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</si>
  <si>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</si>
  <si>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</si>
  <si>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</si>
  <si>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</si>
  <si>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</si>
  <si>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</si>
  <si>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</si>
  <si>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</si>
  <si>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</si>
  <si>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</si>
  <si>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</si>
  <si>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</si>
  <si>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</si>
  <si>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</si>
  <si>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</si>
  <si>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</si>
  <si>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</si>
  <si>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</si>
  <si>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</si>
  <si>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</si>
  <si>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</si>
  <si>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</si>
  <si>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</si>
  <si>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</si>
  <si>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</si>
  <si>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</si>
  <si>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</si>
  <si>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</si>
  <si>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</si>
  <si>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January</t>
  </si>
  <si>
    <t>Potatoes</t>
  </si>
  <si>
    <t>December</t>
  </si>
  <si>
    <t>Onions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</si>
  <si>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</si>
  <si>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</si>
  <si>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</si>
  <si>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</si>
  <si>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</si>
  <si>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</si>
  <si>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</si>
  <si>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</si>
  <si>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</si>
  <si>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</si>
  <si>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</si>
  <si>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</si>
  <si>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</si>
  <si>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</si>
  <si>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</si>
  <si>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</si>
  <si>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</si>
  <si>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</si>
  <si>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</si>
  <si>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</si>
  <si>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</si>
  <si>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</si>
  <si>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</si>
  <si>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</si>
  <si>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</si>
  <si>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</si>
  <si>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</si>
  <si>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</si>
  <si>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</si>
  <si>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</si>
  <si>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</si>
  <si>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</si>
  <si>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</si>
  <si>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</si>
  <si>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</si>
  <si>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</si>
  <si>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</si>
  <si>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</si>
  <si>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</si>
  <si>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</si>
  <si>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</si>
  <si>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</si>
  <si>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</si>
  <si>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</si>
  <si>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</si>
  <si>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</si>
  <si>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</si>
  <si>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</si>
  <si>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8/8/2016</t>
  </si>
  <si>
    <t>mshwari</t>
  </si>
  <si>
    <t>timely repayment</t>
  </si>
  <si>
    <t>7/22/2017</t>
  </si>
  <si>
    <t>MSHWARI</t>
  </si>
  <si>
    <t>Timely repayment</t>
  </si>
  <si>
    <t>5/27/2017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</si>
  <si>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</si>
  <si>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</si>
  <si>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</si>
  <si>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</si>
  <si>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</si>
  <si>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</si>
  <si>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</si>
  <si>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</si>
  <si>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</si>
  <si>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</si>
  <si>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</si>
  <si>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</si>
  <si>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2017/9/20</t>
  </si>
  <si>
    <t>Loan terms</t>
  </si>
  <si>
    <t>Expected disbursement date</t>
  </si>
  <si>
    <t>Expected first repayment date</t>
  </si>
  <si>
    <t>2017/10/20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</si>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</sst>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Potatoes, Onions,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0.2475279362510943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0.05804155614500442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362796.1073538369</v>
      </c>
    </row>
    <row r="18" spans="1:7">
      <c r="B18" s="1" t="s">
        <v>12</v>
      </c>
      <c r="C18" s="36">
        <f>MIN(Output!B6:M6)</f>
        <v>-22730.73654054315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92216.17303437176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3966.666666666667</v>
      </c>
    </row>
    <row r="25" spans="1:7">
      <c r="B25" s="1" t="s">
        <v>18</v>
      </c>
      <c r="C25" s="36">
        <f>MAX(Inputs!A56:A60)</f>
        <v>9500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21997.65700846534</v>
      </c>
      <c r="C6" s="51">
        <f>C30-C88</f>
        <v>92216.17303437176</v>
      </c>
      <c r="D6" s="51">
        <f>D30-D88</f>
        <v>91850.17303437176</v>
      </c>
      <c r="E6" s="51">
        <f>E30-E88</f>
        <v>-20753.5936834003</v>
      </c>
      <c r="F6" s="51">
        <f>F30-F88</f>
        <v>-1336.736540543156</v>
      </c>
      <c r="G6" s="51">
        <f>G30-G88</f>
        <v>-2030.736540543156</v>
      </c>
      <c r="H6" s="51">
        <f>H30-H88</f>
        <v>3269.263459456844</v>
      </c>
      <c r="I6" s="51">
        <f>I30-I88</f>
        <v>89639.03017722891</v>
      </c>
      <c r="J6" s="51">
        <f>J30-J88</f>
        <v>89873.03017722891</v>
      </c>
      <c r="K6" s="51">
        <f>K30-K88</f>
        <v>-22730.73654054315</v>
      </c>
      <c r="L6" s="51">
        <f>L30-L88</f>
        <v>6497.96257240147</v>
      </c>
      <c r="M6" s="51">
        <f>M30-M88</f>
        <v>14304.62119534168</v>
      </c>
      <c r="N6" s="51">
        <f>N30-N88</f>
        <v>21997.65700846534</v>
      </c>
      <c r="O6" s="51">
        <f>O30-O88</f>
        <v>92216.17303437176</v>
      </c>
      <c r="P6" s="51">
        <f>P30-P88</f>
        <v>91850.17303437176</v>
      </c>
      <c r="Q6" s="51">
        <f>Q30-Q88</f>
        <v>-20753.5936834003</v>
      </c>
      <c r="R6" s="51">
        <f>R30-R88</f>
        <v>-1336.736540543156</v>
      </c>
      <c r="S6" s="51">
        <f>S30-S88</f>
        <v>-2030.736540543156</v>
      </c>
      <c r="T6" s="51">
        <f>T30-T88</f>
        <v>3269.263459456844</v>
      </c>
      <c r="U6" s="51">
        <f>U30-U88</f>
        <v>89639.03017722891</v>
      </c>
      <c r="V6" s="51">
        <f>V30-V88</f>
        <v>89873.03017722891</v>
      </c>
      <c r="W6" s="51">
        <f>W30-W88</f>
        <v>-22730.73654054315</v>
      </c>
      <c r="X6" s="51">
        <f>X30-X88</f>
        <v>6497.96257240147</v>
      </c>
      <c r="Y6" s="51">
        <f>Y30-Y88</f>
        <v>14304.62119534168</v>
      </c>
      <c r="Z6" s="51">
        <f>SUMIF($B$13:$Y$13,"Yes",B6:Y6)</f>
        <v>384793.7643623023</v>
      </c>
      <c r="AA6" s="51">
        <f>AA30-AA88</f>
        <v>362796.107353837</v>
      </c>
      <c r="AB6" s="51">
        <f>AB30-AB88</f>
        <v>725592.2147076735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16987</v>
      </c>
      <c r="I7" s="80">
        <f>IF(ISERROR(VLOOKUP(MONTH(I5),Inputs!$D$66:$D$71,1,0)),"",INDEX(Inputs!$B$66:$B$71,MATCH(MONTH(Output!I5),Inputs!$D$66:$D$71,0))-INDEX(Inputs!$C$66:$C$71,MATCH(MONTH(Output!I5),Inputs!$D$66:$D$71,0)))</f>
        <v>13804</v>
      </c>
      <c r="J7" s="80">
        <f>IF(ISERROR(VLOOKUP(MONTH(J5),Inputs!$D$66:$D$71,1,0)),"",INDEX(Inputs!$B$66:$B$71,MATCH(MONTH(Output!J5),Inputs!$D$66:$D$71,0))-INDEX(Inputs!$C$66:$C$71,MATCH(MONTH(Output!J5),Inputs!$D$66:$D$71,0)))</f>
        <v>12557</v>
      </c>
      <c r="K7" s="80">
        <f>IF(ISERROR(VLOOKUP(MONTH(K5),Inputs!$D$66:$D$71,1,0)),"",INDEX(Inputs!$B$66:$B$71,MATCH(MONTH(Output!K5),Inputs!$D$66:$D$71,0))-INDEX(Inputs!$C$66:$C$71,MATCH(MONTH(Output!K5),Inputs!$D$66:$D$71,0)))</f>
        <v>10478</v>
      </c>
      <c r="L7" s="80">
        <f>IF(ISERROR(VLOOKUP(MONTH(L5),Inputs!$D$66:$D$71,1,0)),"",INDEX(Inputs!$B$66:$B$71,MATCH(MONTH(Output!L5),Inputs!$D$66:$D$71,0))-INDEX(Inputs!$C$66:$C$71,MATCH(MONTH(Output!L5),Inputs!$D$66:$D$71,0)))</f>
        <v>11578</v>
      </c>
      <c r="M7" s="80">
        <f>IF(ISERROR(VLOOKUP(MONTH(M5),Inputs!$D$66:$D$71,1,0)),"",INDEX(Inputs!$B$66:$B$71,MATCH(MONTH(Output!M5),Inputs!$D$66:$D$71,0))-INDEX(Inputs!$C$66:$C$71,MATCH(MONTH(Output!M5),Inputs!$D$66:$D$71,0)))</f>
        <v>19873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16987</v>
      </c>
      <c r="U7" s="80">
        <f>IF(ISERROR(VLOOKUP(MONTH(U5),Inputs!$D$66:$D$71,1,0)),"",INDEX(Inputs!$B$66:$B$71,MATCH(MONTH(Output!U5),Inputs!$D$66:$D$71,0))-INDEX(Inputs!$C$66:$C$71,MATCH(MONTH(Output!U5),Inputs!$D$66:$D$71,0)))</f>
        <v>13804</v>
      </c>
      <c r="V7" s="80">
        <f>IF(ISERROR(VLOOKUP(MONTH(V5),Inputs!$D$66:$D$71,1,0)),"",INDEX(Inputs!$B$66:$B$71,MATCH(MONTH(Output!V5),Inputs!$D$66:$D$71,0))-INDEX(Inputs!$C$66:$C$71,MATCH(MONTH(Output!V5),Inputs!$D$66:$D$71,0)))</f>
        <v>12557</v>
      </c>
      <c r="W7" s="80">
        <f>IF(ISERROR(VLOOKUP(MONTH(W5),Inputs!$D$66:$D$71,1,0)),"",INDEX(Inputs!$B$66:$B$71,MATCH(MONTH(Output!W5),Inputs!$D$66:$D$71,0))-INDEX(Inputs!$C$66:$C$71,MATCH(MONTH(Output!W5),Inputs!$D$66:$D$71,0)))</f>
        <v>10478</v>
      </c>
      <c r="X7" s="80">
        <f>IF(ISERROR(VLOOKUP(MONTH(X5),Inputs!$D$66:$D$71,1,0)),"",INDEX(Inputs!$B$66:$B$71,MATCH(MONTH(Output!X5),Inputs!$D$66:$D$71,0))-INDEX(Inputs!$C$66:$C$71,MATCH(MONTH(Output!X5),Inputs!$D$66:$D$71,0)))</f>
        <v>11578</v>
      </c>
      <c r="Y7" s="80">
        <f>IF(ISERROR(VLOOKUP(MONTH(Y5),Inputs!$D$66:$D$71,1,0)),"",INDEX(Inputs!$B$66:$B$71,MATCH(MONTH(Output!Y5),Inputs!$D$66:$D$71,0))-INDEX(Inputs!$C$66:$C$71,MATCH(MONTH(Output!Y5),Inputs!$D$66:$D$71,0)))</f>
        <v>19873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121997.6570084653</v>
      </c>
      <c r="C11" s="80">
        <f>C6+C9-C10</f>
        <v>82216.17303437176</v>
      </c>
      <c r="D11" s="80">
        <f>D6+D9-D10</f>
        <v>81850.17303437176</v>
      </c>
      <c r="E11" s="80">
        <f>E6+E9-E10</f>
        <v>-30753.5936834003</v>
      </c>
      <c r="F11" s="80">
        <f>F6+F9-F10</f>
        <v>-11336.73654054316</v>
      </c>
      <c r="G11" s="80">
        <f>G6+G9-G10</f>
        <v>-12030.73654054316</v>
      </c>
      <c r="H11" s="80">
        <f>H6+H9-H10</f>
        <v>-6730.736540543156</v>
      </c>
      <c r="I11" s="80">
        <f>I6+I9-I10</f>
        <v>79639.03017722891</v>
      </c>
      <c r="J11" s="80">
        <f>J6+J9-J10</f>
        <v>79873.03017722891</v>
      </c>
      <c r="K11" s="80">
        <f>K6+K9-K10</f>
        <v>-32730.73654054315</v>
      </c>
      <c r="L11" s="80">
        <f>L6+L9-L10</f>
        <v>-3502.03742759853</v>
      </c>
      <c r="M11" s="80">
        <f>M6+M9-M10</f>
        <v>4304.621195341679</v>
      </c>
      <c r="N11" s="80">
        <f>N6+N9-N10</f>
        <v>11997.65700846534</v>
      </c>
      <c r="O11" s="80">
        <f>O6+O9-O10</f>
        <v>92216.17303437176</v>
      </c>
      <c r="P11" s="80">
        <f>P6+P9-P10</f>
        <v>91850.17303437176</v>
      </c>
      <c r="Q11" s="80">
        <f>Q6+Q9-Q10</f>
        <v>-20753.5936834003</v>
      </c>
      <c r="R11" s="80">
        <f>R6+R9-R10</f>
        <v>-1336.736540543156</v>
      </c>
      <c r="S11" s="80">
        <f>S6+S9-S10</f>
        <v>-2030.736540543156</v>
      </c>
      <c r="T11" s="80">
        <f>T6+T9-T10</f>
        <v>3269.263459456844</v>
      </c>
      <c r="U11" s="80">
        <f>U6+U9-U10</f>
        <v>89639.03017722891</v>
      </c>
      <c r="V11" s="80">
        <f>V6+V9-V10</f>
        <v>89873.03017722891</v>
      </c>
      <c r="W11" s="80">
        <f>W6+W9-W10</f>
        <v>-22730.73654054315</v>
      </c>
      <c r="X11" s="80">
        <f>X6+X9-X10</f>
        <v>6497.96257240147</v>
      </c>
      <c r="Y11" s="80">
        <f>Y6+Y9-Y10</f>
        <v>14304.62119534168</v>
      </c>
      <c r="Z11" s="85">
        <f>SUMIF($B$13:$Y$13,"Yes",B11:Y11)</f>
        <v>364793.7643623023</v>
      </c>
      <c r="AA11" s="80">
        <f>SUM(B11:M11)</f>
        <v>352796.1073538369</v>
      </c>
      <c r="AB11" s="46">
        <f>SUM(B11:Y11)</f>
        <v>705592.2147076739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0.04668232671065292</v>
      </c>
      <c r="D12" s="82">
        <f>IF(D13="Yes",IF(SUM($B$10:D10)/(SUM($B$6:D6)+SUM($B$9:D9))&lt;0,999.99,SUM($B$10:D10)/(SUM($B$6:D6)+SUM($B$9:D9))),"")</f>
        <v>0.06534580936966548</v>
      </c>
      <c r="E12" s="82">
        <f>IF(E13="Yes",IF(SUM($B$10:E10)/(SUM($B$6:E6)+SUM($B$9:E9))&lt;0,999.99,SUM($B$10:E10)/(SUM($B$6:E6)+SUM($B$9:E9))),"")</f>
        <v>0.1051486346528337</v>
      </c>
      <c r="F12" s="82">
        <f>IF(F13="Yes",IF(SUM($B$10:F10)/(SUM($B$6:F6)+SUM($B$9:F9))&lt;0,999.99,SUM($B$10:F10)/(SUM($B$6:F6)+SUM($B$9:F9))),"")</f>
        <v>0.1408581281429873</v>
      </c>
      <c r="G12" s="82">
        <f>IF(G13="Yes",IF(SUM($B$10:G10)/(SUM($B$6:G6)+SUM($B$9:G9))&lt;0,999.99,SUM($B$10:G10)/(SUM($B$6:G6)+SUM($B$9:G9))),"")</f>
        <v>0.1773408500808886</v>
      </c>
      <c r="H12" s="82">
        <f>IF(H13="Yes",IF(SUM($B$10:H10)/(SUM($B$6:H6)+SUM($B$9:H9))&lt;0,999.99,SUM($B$10:H10)/(SUM($B$6:H6)+SUM($B$9:H9))),"")</f>
        <v>0.2103696828113475</v>
      </c>
      <c r="I12" s="82">
        <f>IF(I13="Yes",IF(SUM($B$10:I10)/(SUM($B$6:I6)+SUM($B$9:I9))&lt;0,999.99,SUM($B$10:I10)/(SUM($B$6:I6)+SUM($B$9:I9))),"")</f>
        <v>0.1867407504823916</v>
      </c>
      <c r="J12" s="82">
        <f>IF(J13="Yes",IF(SUM($B$10:J10)/(SUM($B$6:J6)+SUM($B$9:J9))&lt;0,999.99,SUM($B$10:J10)/(SUM($B$6:J6)+SUM($B$9:J9))),"")</f>
        <v>0.1721450908936841</v>
      </c>
      <c r="K12" s="82">
        <f>IF(K13="Yes",IF(SUM($B$10:K10)/(SUM($B$6:K6)+SUM($B$9:K9))&lt;0,999.99,SUM($B$10:K10)/(SUM($B$6:K6)+SUM($B$9:K9))),"")</f>
        <v>0.2036228930908064</v>
      </c>
      <c r="L12" s="82">
        <f>IF(L13="Yes",IF(SUM($B$10:L10)/(SUM($B$6:L6)+SUM($B$9:L9))&lt;0,999.99,SUM($B$10:L10)/(SUM($B$6:L6)+SUM($B$9:L9))),"")</f>
        <v>0.2229696729731462</v>
      </c>
      <c r="M12" s="82">
        <f>IF(M13="Yes",IF(SUM($B$10:M10)/(SUM($B$6:M6)+SUM($B$9:M9))&lt;0,999.99,SUM($B$10:M10)/(SUM($B$6:M6)+SUM($B$9:M9))),"")</f>
        <v>0.2376856638422372</v>
      </c>
      <c r="N12" s="82">
        <f>IF(N13="Yes",IF(SUM($B$10:N10)/(SUM($B$6:N6)+SUM($B$9:N9))&lt;0,999.99,SUM($B$10:N10)/(SUM($B$6:N6)+SUM($B$9:N9))),"")</f>
        <v>0.2475279362510943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16751.25069186564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11965.17906561831</v>
      </c>
      <c r="M18" s="36">
        <f>Y18</f>
        <v>14358.21487874198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16751.25069186564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11965.17906561831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14358.21487874198</v>
      </c>
      <c r="Z18" s="36">
        <f>SUMIF($B$13:$Y$13,"Yes",B18:Y18)</f>
        <v>59825.89532809157</v>
      </c>
      <c r="AA18" s="36">
        <f>SUM(B18:M18)</f>
        <v>43074.64463622593</v>
      </c>
      <c r="AB18" s="36">
        <f>SUM(B18:Y18)</f>
        <v>86149.28927245185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43132.39425573054</v>
      </c>
      <c r="D19" s="36">
        <f>P19</f>
        <v>43132.39425573054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43132.39425573054</v>
      </c>
      <c r="J19" s="36">
        <f>V19</f>
        <v>43132.39425573054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43132.39425573054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43132.39425573054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43132.39425573054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43132.39425573054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172529.5770229222</v>
      </c>
      <c r="AA19" s="36">
        <f>SUM(B19:M19)</f>
        <v>172529.5770229222</v>
      </c>
      <c r="AB19" s="36">
        <f>SUM(B19:Y19)</f>
        <v>345059.1540458444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0</v>
      </c>
      <c r="C20" s="36">
        <f>O20</f>
        <v>43837.37246204152</v>
      </c>
      <c r="D20" s="36">
        <f>P20</f>
        <v>43837.37246204152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43837.37246204152</v>
      </c>
      <c r="J20" s="36">
        <f>V20</f>
        <v>43837.37246204152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43837.37246204152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43837.37246204152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43837.37246204152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43837.37246204152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175349.4898481661</v>
      </c>
      <c r="AA20" s="36">
        <f>SUM(B20:M20)</f>
        <v>175349.4898481661</v>
      </c>
      <c r="AB20" s="36">
        <f>SUM(B20:Y20)</f>
        <v>350698.9796963321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47007.82963923406</v>
      </c>
      <c r="C30" s="19">
        <f>SUM(C18:C29)</f>
        <v>117226.3456651405</v>
      </c>
      <c r="D30" s="19">
        <f>SUM(D18:D29)</f>
        <v>117226.3456651405</v>
      </c>
      <c r="E30" s="19">
        <f>SUM(E18:E29)</f>
        <v>30256.57894736842</v>
      </c>
      <c r="F30" s="19">
        <f>SUM(F18:F29)</f>
        <v>30256.57894736842</v>
      </c>
      <c r="G30" s="19">
        <f>SUM(G18:G29)</f>
        <v>30256.57894736842</v>
      </c>
      <c r="H30" s="19">
        <f>SUM(H18:H29)</f>
        <v>30256.57894736842</v>
      </c>
      <c r="I30" s="19">
        <f>SUM(I18:I29)</f>
        <v>117226.3456651405</v>
      </c>
      <c r="J30" s="19">
        <f>SUM(J18:J29)</f>
        <v>117226.3456651405</v>
      </c>
      <c r="K30" s="19">
        <f>SUM(K18:K29)</f>
        <v>30256.57894736842</v>
      </c>
      <c r="L30" s="19">
        <f>SUM(L18:L29)</f>
        <v>42221.75801298673</v>
      </c>
      <c r="M30" s="19">
        <f>SUM(M18:M29)</f>
        <v>44614.7938261104</v>
      </c>
      <c r="N30" s="19">
        <f>SUM(N18:N29)</f>
        <v>47007.82963923406</v>
      </c>
      <c r="O30" s="19">
        <f>SUM(O18:O29)</f>
        <v>117226.3456651405</v>
      </c>
      <c r="P30" s="19">
        <f>SUM(P18:P29)</f>
        <v>117226.3456651405</v>
      </c>
      <c r="Q30" s="19">
        <f>SUM(Q18:Q29)</f>
        <v>30256.57894736842</v>
      </c>
      <c r="R30" s="19">
        <f>SUM(R18:R29)</f>
        <v>30256.57894736842</v>
      </c>
      <c r="S30" s="19">
        <f>SUM(S18:S29)</f>
        <v>30256.57894736842</v>
      </c>
      <c r="T30" s="19">
        <f>SUM(T18:T29)</f>
        <v>30256.57894736842</v>
      </c>
      <c r="U30" s="19">
        <f>SUM(U18:U29)</f>
        <v>117226.3456651405</v>
      </c>
      <c r="V30" s="19">
        <f>SUM(V18:V29)</f>
        <v>117226.3456651405</v>
      </c>
      <c r="W30" s="19">
        <f>SUM(W18:W29)</f>
        <v>30256.57894736842</v>
      </c>
      <c r="X30" s="19">
        <f>SUM(X18:X29)</f>
        <v>42221.75801298673</v>
      </c>
      <c r="Y30" s="19">
        <f>SUM(Y18:Y29)</f>
        <v>44614.7938261104</v>
      </c>
      <c r="Z30" s="19">
        <f>SUMIF($B$13:$Y$13,"Yes",B30:Y30)</f>
        <v>801040.4885149694</v>
      </c>
      <c r="AA30" s="19">
        <f>SUM(B30:M30)</f>
        <v>754032.6588757354</v>
      </c>
      <c r="AB30" s="19">
        <f>SUM(B30:Y30)</f>
        <v>1508065.31775147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1000</v>
      </c>
      <c r="E36" s="36">
        <f>Q36</f>
        <v>2000</v>
      </c>
      <c r="F36" s="36">
        <f>R36</f>
        <v>4000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1000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1000</v>
      </c>
      <c r="Q36" s="36">
        <f>SUM(Q37:Q41)</f>
        <v>2000</v>
      </c>
      <c r="R36" s="36">
        <f>SUM(R37:R41)</f>
        <v>4000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1000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10000</v>
      </c>
      <c r="AA36" s="36">
        <f>SUM(B36:M36)</f>
        <v>10000</v>
      </c>
      <c r="AB36" s="36">
        <f>SUM(B36:Y36)</f>
        <v>20000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4000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4000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2000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2000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2000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2000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0</v>
      </c>
      <c r="D39" s="36">
        <f>P39</f>
        <v>1000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1000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1000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1000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750</v>
      </c>
      <c r="E42" s="36">
        <f>Q42</f>
        <v>24000</v>
      </c>
      <c r="F42" s="36">
        <f>R42</f>
        <v>606.0000000000001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750</v>
      </c>
      <c r="K42" s="36">
        <f>W42</f>
        <v>24000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750</v>
      </c>
      <c r="Q42" s="36">
        <f>SUM(Q43:Q47)</f>
        <v>24000</v>
      </c>
      <c r="R42" s="36">
        <f>SUM(R43:R47)</f>
        <v>606.0000000000001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750</v>
      </c>
      <c r="W42" s="36">
        <f>SUM(W43:W47)</f>
        <v>24000</v>
      </c>
      <c r="X42" s="36">
        <f>SUM(X43:X47)</f>
        <v>0</v>
      </c>
      <c r="Y42" s="36">
        <f>SUM(Y43:Y47)</f>
        <v>0</v>
      </c>
      <c r="Z42" s="36">
        <f>SUMIF($B$13:$Y$13,"Yes",B42:Y42)</f>
        <v>50106</v>
      </c>
      <c r="AA42" s="36">
        <f>SUM(B42:M42)</f>
        <v>50106</v>
      </c>
      <c r="AB42" s="36">
        <f>SUM(B42:Y42)</f>
        <v>100212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606.0000000000001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606.0000000000001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24000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24000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24000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24000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48000</v>
      </c>
      <c r="AA44" s="36">
        <f>SUM(B44:M44)</f>
        <v>48000</v>
      </c>
      <c r="AB44" s="36">
        <f>SUM(B44:Y44)</f>
        <v>96000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0</v>
      </c>
      <c r="D45" s="36">
        <f>P45</f>
        <v>750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750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750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750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1500</v>
      </c>
      <c r="AA45" s="36">
        <f>SUM(B45:M45)</f>
        <v>1500</v>
      </c>
      <c r="AB45" s="36">
        <f>SUM(B45:Y45)</f>
        <v>3000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5300</v>
      </c>
      <c r="H48" s="36">
        <f>T48</f>
        <v>0</v>
      </c>
      <c r="I48" s="36">
        <f>U48</f>
        <v>600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5300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5300</v>
      </c>
      <c r="T48" s="46">
        <f>SUM(T49:T53)</f>
        <v>0</v>
      </c>
      <c r="U48" s="46">
        <f>SUM(U49:U53)</f>
        <v>600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5300</v>
      </c>
      <c r="Z48" s="46">
        <f>SUMIF($B$13:$Y$13,"Yes",B48:Y48)</f>
        <v>11200</v>
      </c>
      <c r="AA48" s="46">
        <f>SUM(B48:M48)</f>
        <v>11200</v>
      </c>
      <c r="AB48" s="46">
        <f>SUM(B48:Y48)</f>
        <v>22400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600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600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4300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4300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4300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4300</v>
      </c>
      <c r="Z50" s="46">
        <f>SUMIF($B$13:$Y$13,"Yes",B50:Y50)</f>
        <v>8600</v>
      </c>
      <c r="AA50" s="46">
        <f>SUM(B50:M50)</f>
        <v>8600</v>
      </c>
      <c r="AB50" s="46">
        <f>SUM(B50:Y50)</f>
        <v>17200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1000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1000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1000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1000</v>
      </c>
      <c r="Z51" s="46">
        <f>SUMIF($B$13:$Y$13,"Yes",B51:Y51)</f>
        <v>2000</v>
      </c>
      <c r="AA51" s="46">
        <f>SUM(B51:M51)</f>
        <v>2000</v>
      </c>
      <c r="AB51" s="46">
        <f>SUM(B51:Y51)</f>
        <v>4000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8736.479952673688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8736.479952673688</v>
      </c>
      <c r="Y54" s="46">
        <f>SUM(Y55:Y59)</f>
        <v>0</v>
      </c>
      <c r="Z54" s="46">
        <f>SUMIF($B$13:$Y$13,"Yes",B54:Y54)</f>
        <v>8736.479952673688</v>
      </c>
      <c r="AA54" s="46">
        <f>SUM(B54:M54)</f>
        <v>8736.479952673688</v>
      </c>
      <c r="AB54" s="46">
        <f>SUM(B54:Y54)</f>
        <v>17472.95990534738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8736.479952673688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8736.479952673688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8736.479952673688</v>
      </c>
      <c r="AA55" s="46">
        <f>SUM(B55:M55)</f>
        <v>8736.479952673688</v>
      </c>
      <c r="AB55" s="46">
        <f>SUM(B55:Y55)</f>
        <v>17472.95990534738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1583.333333333333</v>
      </c>
      <c r="C60" s="36">
        <f>O60</f>
        <v>1583.333333333333</v>
      </c>
      <c r="D60" s="36">
        <f>P60</f>
        <v>583.3333333333334</v>
      </c>
      <c r="E60" s="36">
        <f>Q60</f>
        <v>1583.333333333333</v>
      </c>
      <c r="F60" s="36">
        <f>R60</f>
        <v>3011.904761904762</v>
      </c>
      <c r="G60" s="36">
        <f>S60</f>
        <v>3011.904761904762</v>
      </c>
      <c r="H60" s="36">
        <f>T60</f>
        <v>3011.904761904762</v>
      </c>
      <c r="I60" s="36">
        <f>U60</f>
        <v>3011.904761904762</v>
      </c>
      <c r="J60" s="36">
        <f>V60</f>
        <v>2011.904761904762</v>
      </c>
      <c r="K60" s="36">
        <f>W60</f>
        <v>3011.904761904762</v>
      </c>
      <c r="L60" s="36">
        <f>X60</f>
        <v>3011.904761904762</v>
      </c>
      <c r="M60" s="36">
        <f>Y60</f>
        <v>1583.333333333333</v>
      </c>
      <c r="N60" s="46">
        <f>SUM(N61:N65)</f>
        <v>1583.333333333333</v>
      </c>
      <c r="O60" s="46">
        <f>SUM(O61:O65)</f>
        <v>1583.333333333333</v>
      </c>
      <c r="P60" s="46">
        <f>SUM(P61:P65)</f>
        <v>583.3333333333334</v>
      </c>
      <c r="Q60" s="46">
        <f>SUM(Q61:Q65)</f>
        <v>1583.333333333333</v>
      </c>
      <c r="R60" s="46">
        <f>SUM(R61:R65)</f>
        <v>3011.904761904762</v>
      </c>
      <c r="S60" s="46">
        <f>SUM(S61:S65)</f>
        <v>3011.904761904762</v>
      </c>
      <c r="T60" s="46">
        <f>SUM(T61:T65)</f>
        <v>3011.904761904762</v>
      </c>
      <c r="U60" s="46">
        <f>SUM(U61:U65)</f>
        <v>3011.904761904762</v>
      </c>
      <c r="V60" s="46">
        <f>SUM(V61:V65)</f>
        <v>2011.904761904762</v>
      </c>
      <c r="W60" s="46">
        <f>SUM(W61:W65)</f>
        <v>3011.904761904762</v>
      </c>
      <c r="X60" s="46">
        <f>SUM(X61:X65)</f>
        <v>3011.904761904762</v>
      </c>
      <c r="Y60" s="46">
        <f>SUM(Y61:Y65)</f>
        <v>1583.333333333333</v>
      </c>
      <c r="Z60" s="46">
        <f>SUMIF($B$13:$Y$13,"Yes",B60:Y60)</f>
        <v>28583.33333333334</v>
      </c>
      <c r="AA60" s="46">
        <f>SUM(B60:M60)</f>
        <v>27000</v>
      </c>
      <c r="AB60" s="46">
        <f>SUM(B60:Y60)</f>
        <v>54000.00000000001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1428.571428571429</v>
      </c>
      <c r="G61" s="36">
        <f>S61</f>
        <v>1428.571428571429</v>
      </c>
      <c r="H61" s="36">
        <f>T61</f>
        <v>1428.571428571429</v>
      </c>
      <c r="I61" s="36">
        <f>U61</f>
        <v>1428.571428571429</v>
      </c>
      <c r="J61" s="36">
        <f>V61</f>
        <v>1428.571428571429</v>
      </c>
      <c r="K61" s="36">
        <f>W61</f>
        <v>1428.571428571429</v>
      </c>
      <c r="L61" s="36">
        <f>X61</f>
        <v>1428.571428571429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1428.571428571429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1428.571428571429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1428.571428571429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1428.571428571429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1428.571428571429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1428.571428571429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1428.571428571429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10000</v>
      </c>
      <c r="AA61" s="46">
        <f>SUM(B61:M61)</f>
        <v>10000</v>
      </c>
      <c r="AB61" s="46">
        <f>SUM(B61:Y61)</f>
        <v>20000</v>
      </c>
    </row>
    <row r="62" spans="1:30" hidden="true" outlineLevel="1">
      <c r="A62" s="181" t="str">
        <f>Calculations!$A$5</f>
        <v>Potatoes</v>
      </c>
      <c r="B62" s="36">
        <f>N62</f>
        <v>1000</v>
      </c>
      <c r="C62" s="36">
        <f>O62</f>
        <v>1000</v>
      </c>
      <c r="D62" s="36">
        <f>P62</f>
        <v>0</v>
      </c>
      <c r="E62" s="36">
        <f>Q62</f>
        <v>1000</v>
      </c>
      <c r="F62" s="36">
        <f>R62</f>
        <v>1000</v>
      </c>
      <c r="G62" s="36">
        <f>S62</f>
        <v>1000</v>
      </c>
      <c r="H62" s="36">
        <f>T62</f>
        <v>1000</v>
      </c>
      <c r="I62" s="36">
        <f>U62</f>
        <v>1000</v>
      </c>
      <c r="J62" s="36">
        <f>V62</f>
        <v>0</v>
      </c>
      <c r="K62" s="36">
        <f>W62</f>
        <v>1000</v>
      </c>
      <c r="L62" s="36">
        <f>X62</f>
        <v>1000</v>
      </c>
      <c r="M62" s="36">
        <f>Y62</f>
        <v>1000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1000</v>
      </c>
      <c r="Z62" s="46">
        <f>SUMIF($B$13:$Y$13,"Yes",B62:Y62)</f>
        <v>11000</v>
      </c>
      <c r="AA62" s="46">
        <f>SUM(B62:M62)</f>
        <v>10000</v>
      </c>
      <c r="AB62" s="46">
        <f>SUM(B62:Y62)</f>
        <v>20000</v>
      </c>
    </row>
    <row r="63" spans="1:30" hidden="true" outlineLevel="1">
      <c r="A63" s="181" t="str">
        <f>Calculations!$A$6</f>
        <v>Onions</v>
      </c>
      <c r="B63" s="36">
        <f>N63</f>
        <v>583.3333333333334</v>
      </c>
      <c r="C63" s="36">
        <f>O63</f>
        <v>583.3333333333334</v>
      </c>
      <c r="D63" s="36">
        <f>P63</f>
        <v>583.3333333333334</v>
      </c>
      <c r="E63" s="36">
        <f>Q63</f>
        <v>583.3333333333334</v>
      </c>
      <c r="F63" s="36">
        <f>R63</f>
        <v>583.3333333333334</v>
      </c>
      <c r="G63" s="36">
        <f>S63</f>
        <v>583.3333333333334</v>
      </c>
      <c r="H63" s="36">
        <f>T63</f>
        <v>583.3333333333334</v>
      </c>
      <c r="I63" s="36">
        <f>U63</f>
        <v>583.3333333333334</v>
      </c>
      <c r="J63" s="36">
        <f>V63</f>
        <v>583.3333333333334</v>
      </c>
      <c r="K63" s="36">
        <f>W63</f>
        <v>583.3333333333334</v>
      </c>
      <c r="L63" s="36">
        <f>X63</f>
        <v>583.3333333333334</v>
      </c>
      <c r="M63" s="36">
        <f>Y63</f>
        <v>583.3333333333334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583.3333333333334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583.3333333333334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583.3333333333334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583.3333333333334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583.3333333333334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583.3333333333334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583.3333333333334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583.3333333333334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583.3333333333334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583.3333333333334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583.3333333333334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583.3333333333334</v>
      </c>
      <c r="Z63" s="46">
        <f>SUMIF($B$13:$Y$13,"Yes",B63:Y63)</f>
        <v>7583.333333333332</v>
      </c>
      <c r="AA63" s="46">
        <f>SUM(B63:M63)</f>
        <v>6999.999999999999</v>
      </c>
      <c r="AB63" s="46">
        <f>SUM(B63:Y63)</f>
        <v>14000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584</v>
      </c>
      <c r="C66" s="36">
        <f>O66</f>
        <v>584</v>
      </c>
      <c r="D66" s="36">
        <f>P66</f>
        <v>200</v>
      </c>
      <c r="E66" s="36">
        <f>Q66</f>
        <v>584</v>
      </c>
      <c r="F66" s="36">
        <f>R66</f>
        <v>1132.571428571428</v>
      </c>
      <c r="G66" s="36">
        <f>S66</f>
        <v>1132.571428571428</v>
      </c>
      <c r="H66" s="36">
        <f>T66</f>
        <v>1132.571428571428</v>
      </c>
      <c r="I66" s="36">
        <f>U66</f>
        <v>1132.571428571428</v>
      </c>
      <c r="J66" s="36">
        <f>V66</f>
        <v>748.5714285714286</v>
      </c>
      <c r="K66" s="36">
        <f>W66</f>
        <v>1132.571428571428</v>
      </c>
      <c r="L66" s="36">
        <f>X66</f>
        <v>1132.571428571428</v>
      </c>
      <c r="M66" s="36">
        <f>Y66</f>
        <v>584</v>
      </c>
      <c r="N66" s="46">
        <f>SUM(N67:N71)</f>
        <v>584</v>
      </c>
      <c r="O66" s="46">
        <f>SUM(O67:O71)</f>
        <v>584</v>
      </c>
      <c r="P66" s="46">
        <f>SUM(P67:P71)</f>
        <v>200</v>
      </c>
      <c r="Q66" s="46">
        <f>SUM(Q67:Q71)</f>
        <v>584</v>
      </c>
      <c r="R66" s="46">
        <f>SUM(R67:R71)</f>
        <v>1132.571428571428</v>
      </c>
      <c r="S66" s="46">
        <f>SUM(S67:S71)</f>
        <v>1132.571428571428</v>
      </c>
      <c r="T66" s="46">
        <f>SUM(T67:T71)</f>
        <v>1132.571428571428</v>
      </c>
      <c r="U66" s="46">
        <f>SUM(U67:U71)</f>
        <v>1132.571428571428</v>
      </c>
      <c r="V66" s="46">
        <f>SUM(V67:V71)</f>
        <v>748.5714285714286</v>
      </c>
      <c r="W66" s="46">
        <f>SUM(W67:W71)</f>
        <v>1132.571428571428</v>
      </c>
      <c r="X66" s="46">
        <f>SUM(X67:X71)</f>
        <v>1132.571428571428</v>
      </c>
      <c r="Y66" s="46">
        <f>SUM(Y67:Y71)</f>
        <v>584</v>
      </c>
      <c r="Z66" s="46">
        <f>SUMIF($B$13:$Y$13,"Yes",B66:Y66)</f>
        <v>10664</v>
      </c>
      <c r="AA66" s="46">
        <f>SUM(B66:M66)</f>
        <v>10080</v>
      </c>
      <c r="AB66" s="46">
        <f>SUM(B66:Y66)</f>
        <v>20159.99999999999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548.5714285714286</v>
      </c>
      <c r="G67" s="36">
        <f>S67</f>
        <v>548.5714285714286</v>
      </c>
      <c r="H67" s="36">
        <f>T67</f>
        <v>548.5714285714286</v>
      </c>
      <c r="I67" s="36">
        <f>U67</f>
        <v>548.5714285714286</v>
      </c>
      <c r="J67" s="36">
        <f>V67</f>
        <v>548.5714285714286</v>
      </c>
      <c r="K67" s="36">
        <f>W67</f>
        <v>548.5714285714286</v>
      </c>
      <c r="L67" s="36">
        <f>X67</f>
        <v>548.5714285714286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548.5714285714286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548.5714285714286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548.5714285714286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548.5714285714286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548.5714285714286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548.5714285714286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548.5714285714286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3840</v>
      </c>
      <c r="AA67" s="46">
        <f>SUM(B67:M67)</f>
        <v>3840</v>
      </c>
      <c r="AB67" s="46">
        <f>SUM(B67:Y67)</f>
        <v>7679.999999999999</v>
      </c>
    </row>
    <row r="68" spans="1:30" hidden="true" outlineLevel="1">
      <c r="A68" s="181" t="str">
        <f>Calculations!$A$5</f>
        <v>Potatoes</v>
      </c>
      <c r="B68" s="36">
        <f>N68</f>
        <v>384</v>
      </c>
      <c r="C68" s="36">
        <f>O68</f>
        <v>384</v>
      </c>
      <c r="D68" s="36">
        <f>P68</f>
        <v>0</v>
      </c>
      <c r="E68" s="36">
        <f>Q68</f>
        <v>384</v>
      </c>
      <c r="F68" s="36">
        <f>R68</f>
        <v>384</v>
      </c>
      <c r="G68" s="36">
        <f>S68</f>
        <v>384</v>
      </c>
      <c r="H68" s="36">
        <f>T68</f>
        <v>384</v>
      </c>
      <c r="I68" s="36">
        <f>U68</f>
        <v>384</v>
      </c>
      <c r="J68" s="36">
        <f>V68</f>
        <v>0</v>
      </c>
      <c r="K68" s="36">
        <f>W68</f>
        <v>384</v>
      </c>
      <c r="L68" s="36">
        <f>X68</f>
        <v>384</v>
      </c>
      <c r="M68" s="36">
        <f>Y68</f>
        <v>384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384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384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384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384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384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384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384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384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384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384</v>
      </c>
      <c r="Z68" s="46">
        <f>SUMIF($B$13:$Y$13,"Yes",B68:Y68)</f>
        <v>4224</v>
      </c>
      <c r="AA68" s="46">
        <f>SUM(B68:M68)</f>
        <v>3840</v>
      </c>
      <c r="AB68" s="46">
        <f>SUM(B68:Y68)</f>
        <v>7680</v>
      </c>
    </row>
    <row r="69" spans="1:30" hidden="true" outlineLevel="1">
      <c r="A69" s="181" t="str">
        <f>Calculations!$A$6</f>
        <v>Onions</v>
      </c>
      <c r="B69" s="36">
        <f>N69</f>
        <v>200</v>
      </c>
      <c r="C69" s="36">
        <f>O69</f>
        <v>200</v>
      </c>
      <c r="D69" s="36">
        <f>P69</f>
        <v>200</v>
      </c>
      <c r="E69" s="36">
        <f>Q69</f>
        <v>200</v>
      </c>
      <c r="F69" s="36">
        <f>R69</f>
        <v>200</v>
      </c>
      <c r="G69" s="36">
        <f>S69</f>
        <v>200</v>
      </c>
      <c r="H69" s="36">
        <f>T69</f>
        <v>200</v>
      </c>
      <c r="I69" s="36">
        <f>U69</f>
        <v>200</v>
      </c>
      <c r="J69" s="36">
        <f>V69</f>
        <v>200</v>
      </c>
      <c r="K69" s="36">
        <f>W69</f>
        <v>200</v>
      </c>
      <c r="L69" s="36">
        <f>X69</f>
        <v>200</v>
      </c>
      <c r="M69" s="36">
        <f>Y69</f>
        <v>200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200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200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200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200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200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200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200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200</v>
      </c>
      <c r="Z69" s="46">
        <f>SUMIF($B$13:$Y$13,"Yes",B69:Y69)</f>
        <v>2600</v>
      </c>
      <c r="AA69" s="46">
        <f>SUM(B69:M69)</f>
        <v>2400</v>
      </c>
      <c r="AB69" s="46">
        <f>SUM(B69:Y69)</f>
        <v>4800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20155.33929743539</v>
      </c>
      <c r="C81" s="46">
        <f>(SUM($AA$18:$AA$29)-SUM($AA$36,$AA$42,$AA$48,$AA$54,$AA$60,$AA$66,$AA$72:$AA$79))*Parameters!$B$37/12</f>
        <v>20155.33929743539</v>
      </c>
      <c r="D81" s="46">
        <f>(SUM($AA$18:$AA$29)-SUM($AA$36,$AA$42,$AA$48,$AA$54,$AA$60,$AA$66,$AA$72:$AA$79))*Parameters!$B$37/12</f>
        <v>20155.33929743539</v>
      </c>
      <c r="E81" s="46">
        <f>(SUM($AA$18:$AA$29)-SUM($AA$36,$AA$42,$AA$48,$AA$54,$AA$60,$AA$66,$AA$72:$AA$79))*Parameters!$B$37/12</f>
        <v>20155.33929743539</v>
      </c>
      <c r="F81" s="46">
        <f>(SUM($AA$18:$AA$29)-SUM($AA$36,$AA$42,$AA$48,$AA$54,$AA$60,$AA$66,$AA$72:$AA$79))*Parameters!$B$37/12</f>
        <v>20155.33929743539</v>
      </c>
      <c r="G81" s="46">
        <f>(SUM($AA$18:$AA$29)-SUM($AA$36,$AA$42,$AA$48,$AA$54,$AA$60,$AA$66,$AA$72:$AA$79))*Parameters!$B$37/12</f>
        <v>20155.33929743539</v>
      </c>
      <c r="H81" s="46">
        <f>(SUM($AA$18:$AA$29)-SUM($AA$36,$AA$42,$AA$48,$AA$54,$AA$60,$AA$66,$AA$72:$AA$79))*Parameters!$B$37/12</f>
        <v>20155.33929743539</v>
      </c>
      <c r="I81" s="46">
        <f>(SUM($AA$18:$AA$29)-SUM($AA$36,$AA$42,$AA$48,$AA$54,$AA$60,$AA$66,$AA$72:$AA$79))*Parameters!$B$37/12</f>
        <v>20155.33929743539</v>
      </c>
      <c r="J81" s="46">
        <f>(SUM($AA$18:$AA$29)-SUM($AA$36,$AA$42,$AA$48,$AA$54,$AA$60,$AA$66,$AA$72:$AA$79))*Parameters!$B$37/12</f>
        <v>20155.33929743539</v>
      </c>
      <c r="K81" s="46">
        <f>(SUM($AA$18:$AA$29)-SUM($AA$36,$AA$42,$AA$48,$AA$54,$AA$60,$AA$66,$AA$72:$AA$79))*Parameters!$B$37/12</f>
        <v>20155.33929743539</v>
      </c>
      <c r="L81" s="46">
        <f>(SUM($AA$18:$AA$29)-SUM($AA$36,$AA$42,$AA$48,$AA$54,$AA$60,$AA$66,$AA$72:$AA$79))*Parameters!$B$37/12</f>
        <v>20155.33929743539</v>
      </c>
      <c r="M81" s="46">
        <f>(SUM($AA$18:$AA$29)-SUM($AA$36,$AA$42,$AA$48,$AA$54,$AA$60,$AA$66,$AA$72:$AA$79))*Parameters!$B$37/12</f>
        <v>20155.33929743539</v>
      </c>
      <c r="N81" s="46">
        <f>(SUM($AA$18:$AA$29)-SUM($AA$36,$AA$42,$AA$48,$AA$54,$AA$60,$AA$66,$AA$72:$AA$79))*Parameters!$B$37/12</f>
        <v>20155.33929743539</v>
      </c>
      <c r="O81" s="46">
        <f>(SUM($AA$18:$AA$29)-SUM($AA$36,$AA$42,$AA$48,$AA$54,$AA$60,$AA$66,$AA$72:$AA$79))*Parameters!$B$37/12</f>
        <v>20155.33929743539</v>
      </c>
      <c r="P81" s="46">
        <f>(SUM($AA$18:$AA$29)-SUM($AA$36,$AA$42,$AA$48,$AA$54,$AA$60,$AA$66,$AA$72:$AA$79))*Parameters!$B$37/12</f>
        <v>20155.33929743539</v>
      </c>
      <c r="Q81" s="46">
        <f>(SUM($AA$18:$AA$29)-SUM($AA$36,$AA$42,$AA$48,$AA$54,$AA$60,$AA$66,$AA$72:$AA$79))*Parameters!$B$37/12</f>
        <v>20155.33929743539</v>
      </c>
      <c r="R81" s="46">
        <f>(SUM($AA$18:$AA$29)-SUM($AA$36,$AA$42,$AA$48,$AA$54,$AA$60,$AA$66,$AA$72:$AA$79))*Parameters!$B$37/12</f>
        <v>20155.33929743539</v>
      </c>
      <c r="S81" s="46">
        <f>(SUM($AA$18:$AA$29)-SUM($AA$36,$AA$42,$AA$48,$AA$54,$AA$60,$AA$66,$AA$72:$AA$79))*Parameters!$B$37/12</f>
        <v>20155.33929743539</v>
      </c>
      <c r="T81" s="46">
        <f>(SUM($AA$18:$AA$29)-SUM($AA$36,$AA$42,$AA$48,$AA$54,$AA$60,$AA$66,$AA$72:$AA$79))*Parameters!$B$37/12</f>
        <v>20155.33929743539</v>
      </c>
      <c r="U81" s="46">
        <f>(SUM($AA$18:$AA$29)-SUM($AA$36,$AA$42,$AA$48,$AA$54,$AA$60,$AA$66,$AA$72:$AA$79))*Parameters!$B$37/12</f>
        <v>20155.33929743539</v>
      </c>
      <c r="V81" s="46">
        <f>(SUM($AA$18:$AA$29)-SUM($AA$36,$AA$42,$AA$48,$AA$54,$AA$60,$AA$66,$AA$72:$AA$79))*Parameters!$B$37/12</f>
        <v>20155.33929743539</v>
      </c>
      <c r="W81" s="46">
        <f>(SUM($AA$18:$AA$29)-SUM($AA$36,$AA$42,$AA$48,$AA$54,$AA$60,$AA$66,$AA$72:$AA$79))*Parameters!$B$37/12</f>
        <v>20155.33929743539</v>
      </c>
      <c r="X81" s="46">
        <f>(SUM($AA$18:$AA$29)-SUM($AA$36,$AA$42,$AA$48,$AA$54,$AA$60,$AA$66,$AA$72:$AA$79))*Parameters!$B$37/12</f>
        <v>20155.33929743539</v>
      </c>
      <c r="Y81" s="46">
        <f>(SUM($AA$18:$AA$29)-SUM($AA$36,$AA$42,$AA$48,$AA$54,$AA$60,$AA$66,$AA$72:$AA$79))*Parameters!$B$37/12</f>
        <v>20155.33929743539</v>
      </c>
      <c r="Z81" s="46">
        <f>SUMIF($B$13:$Y$13,"Yes",B81:Y81)</f>
        <v>262019.4108666601</v>
      </c>
      <c r="AA81" s="46">
        <f>SUM(B81:M81)</f>
        <v>241864.0715692247</v>
      </c>
      <c r="AB81" s="46">
        <f>SUM(B81:Y81)</f>
        <v>483728.1431384491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25010.17263076872</v>
      </c>
      <c r="C88" s="19">
        <f>SUM(C72:C82,C66,C60,C54,C48,C42,C36)</f>
        <v>25010.17263076872</v>
      </c>
      <c r="D88" s="19">
        <f>SUM(D72:D82,D66,D60,D54,D48,D42,D36)</f>
        <v>25376.17263076872</v>
      </c>
      <c r="E88" s="19">
        <f>SUM(E72:E82,E66,E60,E54,E48,E42,E36)</f>
        <v>51010.17263076872</v>
      </c>
      <c r="F88" s="19">
        <f>SUM(F72:F82,F66,F60,F54,F48,F42,F36)</f>
        <v>31593.31548791158</v>
      </c>
      <c r="G88" s="19">
        <f>SUM(G72:G82,G66,G60,G54,G48,G42,G36)</f>
        <v>32287.31548791158</v>
      </c>
      <c r="H88" s="19">
        <f>SUM(H72:H82,H66,H60,H54,H48,H42,H36)</f>
        <v>26987.31548791158</v>
      </c>
      <c r="I88" s="19">
        <f>SUM(I72:I82,I66,I60,I54,I48,I42,I36)</f>
        <v>27587.31548791158</v>
      </c>
      <c r="J88" s="19">
        <f>SUM(J72:J82,J66,J60,J54,J48,J42,J36)</f>
        <v>27353.31548791158</v>
      </c>
      <c r="K88" s="19">
        <f>SUM(K72:K82,K66,K60,K54,K48,K42,K36)</f>
        <v>52987.31548791158</v>
      </c>
      <c r="L88" s="19">
        <f>SUM(L72:L82,L66,L60,L54,L48,L42,L36)</f>
        <v>35723.79544058527</v>
      </c>
      <c r="M88" s="19">
        <f>SUM(M72:M82,M66,M60,M54,M48,M42,M36)</f>
        <v>30310.17263076872</v>
      </c>
      <c r="N88" s="19">
        <f>SUM(N72:N82,N66,N60,N54,N48,N42,N36)</f>
        <v>25010.17263076872</v>
      </c>
      <c r="O88" s="19">
        <f>SUM(O72:O82,O66,O60,O54,O48,O42,O36)</f>
        <v>25010.17263076872</v>
      </c>
      <c r="P88" s="19">
        <f>SUM(P72:P82,P66,P60,P54,P48,P42,P36)</f>
        <v>25376.17263076872</v>
      </c>
      <c r="Q88" s="19">
        <f>SUM(Q72:Q82,Q66,Q60,Q54,Q48,Q42,Q36)</f>
        <v>51010.17263076872</v>
      </c>
      <c r="R88" s="19">
        <f>SUM(R72:R82,R66,R60,R54,R48,R42,R36)</f>
        <v>31593.31548791158</v>
      </c>
      <c r="S88" s="19">
        <f>SUM(S72:S82,S66,S60,S54,S48,S42,S36)</f>
        <v>32287.31548791158</v>
      </c>
      <c r="T88" s="19">
        <f>SUM(T72:T82,T66,T60,T54,T48,T42,T36)</f>
        <v>26987.31548791158</v>
      </c>
      <c r="U88" s="19">
        <f>SUM(U72:U82,U66,U60,U54,U48,U42,U36)</f>
        <v>27587.31548791158</v>
      </c>
      <c r="V88" s="19">
        <f>SUM(V72:V82,V66,V60,V54,V48,V42,V36)</f>
        <v>27353.31548791158</v>
      </c>
      <c r="W88" s="19">
        <f>SUM(W72:W82,W66,W60,W54,W48,W42,W36)</f>
        <v>52987.31548791158</v>
      </c>
      <c r="X88" s="19">
        <f>SUM(X72:X82,X66,X60,X54,X48,X42,X36)</f>
        <v>35723.79544058527</v>
      </c>
      <c r="Y88" s="19">
        <f>SUM(Y72:Y82,Y66,Y60,Y54,Y48,Y42,Y36)</f>
        <v>30310.17263076872</v>
      </c>
      <c r="Z88" s="19">
        <f>SUMIF($B$13:$Y$13,"Yes",B88:Y88)</f>
        <v>416246.7241526671</v>
      </c>
      <c r="AA88" s="19">
        <f>SUM(B88:M88)</f>
        <v>391236.5515218984</v>
      </c>
      <c r="AB88" s="19">
        <f>SUM(B88:Y88)</f>
        <v>782473.1030437967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12000</v>
      </c>
    </row>
    <row r="101" spans="1:30" customHeight="1" ht="15.75">
      <c r="A101" s="1" t="s">
        <v>67</v>
      </c>
      <c r="B101" s="19">
        <f>SUM(B94:B100)</f>
        <v>2262000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1290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131290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2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</v>
      </c>
      <c r="N8" s="154">
        <v>1</v>
      </c>
    </row>
    <row r="9" spans="1:48">
      <c r="A9" s="143" t="s">
        <v>97</v>
      </c>
      <c r="B9" s="16"/>
      <c r="C9" s="143">
        <v>0.5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10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113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60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0</v>
      </c>
    </row>
    <row r="31" spans="1:48">
      <c r="A31" s="5" t="s">
        <v>120</v>
      </c>
      <c r="B31" s="158">
        <v>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500000</v>
      </c>
    </row>
    <row r="46" spans="1:48" customHeight="1" ht="30">
      <c r="A46" s="57" t="s">
        <v>134</v>
      </c>
      <c r="B46" s="161">
        <v>120000</v>
      </c>
    </row>
    <row r="47" spans="1:48" customHeight="1" ht="30">
      <c r="A47" s="57" t="s">
        <v>135</v>
      </c>
      <c r="B47" s="161">
        <v>80000</v>
      </c>
    </row>
    <row r="48" spans="1:48" customHeight="1" ht="30">
      <c r="A48" s="57" t="s">
        <v>136</v>
      </c>
      <c r="B48" s="161">
        <v>12000</v>
      </c>
    </row>
    <row r="49" spans="1:48" customHeight="1" ht="30">
      <c r="A49" s="57" t="s">
        <v>137</v>
      </c>
      <c r="B49" s="161">
        <v>150000</v>
      </c>
    </row>
    <row r="50" spans="1:48">
      <c r="A50" s="43"/>
      <c r="B50" s="36"/>
    </row>
    <row r="51" spans="1:48">
      <c r="A51" s="58" t="s">
        <v>138</v>
      </c>
      <c r="B51" s="161">
        <v>30000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9500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1200</v>
      </c>
      <c r="B57" s="157">
        <v>1290</v>
      </c>
      <c r="C57" s="164" t="s">
        <v>149</v>
      </c>
      <c r="D57" s="165" t="s">
        <v>150</v>
      </c>
      <c r="E57" s="165" t="s">
        <v>92</v>
      </c>
      <c r="F57" s="165" t="s">
        <v>151</v>
      </c>
    </row>
    <row r="58" spans="1:48">
      <c r="A58" s="157">
        <v>1200</v>
      </c>
      <c r="B58" s="157">
        <v>0</v>
      </c>
      <c r="C58" s="164" t="s">
        <v>152</v>
      </c>
      <c r="D58" s="165" t="s">
        <v>147</v>
      </c>
      <c r="E58" s="165" t="s">
        <v>92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154</v>
      </c>
      <c r="C65" s="10" t="s">
        <v>155</v>
      </c>
    </row>
    <row r="66" spans="1:48">
      <c r="A66" s="142" t="s">
        <v>156</v>
      </c>
      <c r="B66" s="159">
        <v>74920</v>
      </c>
      <c r="C66" s="163">
        <v>57933</v>
      </c>
      <c r="D66" s="49">
        <f>INDEX(Parameters!$D$79:$D$90,MATCH(Inputs!A66,Parameters!$C$79:$C$90,0))</f>
        <v>3</v>
      </c>
    </row>
    <row r="67" spans="1:48">
      <c r="A67" s="143" t="s">
        <v>157</v>
      </c>
      <c r="B67" s="157">
        <v>55280</v>
      </c>
      <c r="C67" s="165">
        <v>41476</v>
      </c>
      <c r="D67" s="49">
        <f>INDEX(Parameters!$D$79:$D$90,MATCH(Inputs!A67,Parameters!$C$79:$C$90,0))</f>
        <v>4</v>
      </c>
    </row>
    <row r="68" spans="1:48">
      <c r="A68" s="143" t="s">
        <v>158</v>
      </c>
      <c r="B68" s="157">
        <v>50726</v>
      </c>
      <c r="C68" s="165">
        <v>38169</v>
      </c>
      <c r="D68" s="49">
        <f>INDEX(Parameters!$D$79:$D$90,MATCH(Inputs!A68,Parameters!$C$79:$C$90,0))</f>
        <v>5</v>
      </c>
    </row>
    <row r="69" spans="1:48">
      <c r="A69" s="143" t="s">
        <v>159</v>
      </c>
      <c r="B69" s="157">
        <v>21250</v>
      </c>
      <c r="C69" s="165">
        <v>10772</v>
      </c>
      <c r="D69" s="49">
        <f>INDEX(Parameters!$D$79:$D$90,MATCH(Inputs!A69,Parameters!$C$79:$C$90,0))</f>
        <v>6</v>
      </c>
    </row>
    <row r="70" spans="1:48">
      <c r="A70" s="143" t="s">
        <v>160</v>
      </c>
      <c r="B70" s="157">
        <v>31277</v>
      </c>
      <c r="C70" s="165">
        <v>19699</v>
      </c>
      <c r="D70" s="49">
        <f>INDEX(Parameters!$D$79:$D$90,MATCH(Inputs!A70,Parameters!$C$79:$C$90,0))</f>
        <v>7</v>
      </c>
    </row>
    <row r="71" spans="1:48">
      <c r="A71" s="144" t="s">
        <v>161</v>
      </c>
      <c r="B71" s="158">
        <v>81257</v>
      </c>
      <c r="C71" s="167">
        <v>61384</v>
      </c>
      <c r="D71" s="49">
        <f>INDEX(Parameters!$D$79:$D$90,MATCH(Inputs!A71,Parameters!$C$79:$C$90,0))</f>
        <v>8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19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100000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43191</v>
      </c>
      <c r="D4" s="38">
        <f>IFERROR(DATE(YEAR(B4),MONTH(B4)+T4,DAY(B4)),"")</f>
        <v>43282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43282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1899.234772320367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35895.53719685494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5000</v>
      </c>
      <c r="AA4" s="33">
        <f>IFERROR(IF(Inputs!N7&gt;0,INDEX(Parameters!$A$3:$AI$17,MATCH(Calculations!A4,Parameters!$A$3:$A$17,0),MATCH(Parameters!$R$3,Parameters!$A$3:$AI$3,0)),0)*M4/S4,0)</f>
        <v>4368.239976336844</v>
      </c>
      <c r="AB4" s="33">
        <f>H4*IFERROR(INDEX(Parameters!$A$3:$AI$17,MATCH(Calculations!A4,Parameters!$A$3:$A$17,0),MATCH(Parameters!$O$3,Parameters!$A$3:$AI$3,0)),AVERAGE(Parameters!$O$4:$O$17))*(1-Inputs!$B$25/100)</f>
        <v>4800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8558.01473327987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172529.5770229222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24000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4300</v>
      </c>
      <c r="Z5" s="34">
        <f>IF(Inputs!I8=Parameters!$F$78,H5*INDEX(Parameters!$A$3:$AI$18,MATCH(Calculations!A5,Parameters!$A$3:$A$18,0),MATCH(Parameters!$Q$3,Parameters!$A$3:$AI$3,0)),0)</f>
        <v>5000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43040</v>
      </c>
      <c r="C6" s="39">
        <f>IFERROR(DATE(YEAR(B6),MONTH(B6)+ROUND(T6/2,0),DAY(B6)),B6)</f>
        <v>43132</v>
      </c>
      <c r="D6" s="39">
        <f>IFERROR(DATE(YEAR(B6),MONTH(B6)+T6,DAY(B6)),"")</f>
        <v>43191</v>
      </c>
      <c r="E6" s="39">
        <f>IFERROR(IF($S6=0,"",IF($S6=2,DATE(YEAR(B6),MONTH(B6)+6,DAY(B6)),IF($S6=1,B6,""))),"")</f>
        <v>43221</v>
      </c>
      <c r="F6" s="39">
        <f>IFERROR(IF($S6=0,"",IF($S6=2,DATE(YEAR(C6),MONTH(C6)+6,DAY(C6)),IF($S6=1,C6,""))),"")</f>
        <v>43313</v>
      </c>
      <c r="G6" s="39">
        <f>IFERROR(IF($S6=0,"",IF($S6=2,DATE(YEAR(D6),MONTH(D6)+6,DAY(D6)),IF($S6=1,D6,""))),"")</f>
        <v>43374</v>
      </c>
      <c r="H6" s="16">
        <f>Inputs!C9</f>
        <v>0.5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3479.15654460647</v>
      </c>
      <c r="M6" s="30">
        <f>L6*H6</f>
        <v>1739.578272303235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56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175349.4898481661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750</v>
      </c>
      <c r="W6" s="34">
        <f>IFERROR(J6*H6*Parameters!$B$35+IF(OR(Inputs!F9=Parameters!$E$78,Inputs!F9=Parameters!$E$80),Calculations!H6*Parameters!$B$36,0),0)</f>
        <v>1000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1000</v>
      </c>
      <c r="Z6" s="34">
        <f>IF(Inputs!I9=Parameters!$F$78,H6*INDEX(Parameters!$A$3:$AI$18,MATCH(Calculations!A6,Parameters!$A$3:$A$18,0),MATCH(Parameters!$Q$3,Parameters!$A$3:$AI$3,0)),0)</f>
        <v>3500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9500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1200</v>
      </c>
      <c r="B24" s="46">
        <f>SUM(C24:D24)</f>
        <v>-23</v>
      </c>
      <c r="C24" s="46">
        <f>IF(Inputs!B57&gt;0,(Inputs!A57-Inputs!B57)/(DATE(YEAR(Inputs!$B$76),MONTH(Inputs!$B$76),DAY(Inputs!$B$76))-DATE(YEAR(Inputs!C57),MONTH(Inputs!C57),DAY(Inputs!C57)))*30,0)</f>
        <v>-45</v>
      </c>
      <c r="D24" s="46">
        <f>IF(Inputs!B57&gt;0,Inputs!A57*0.22/12,0)</f>
        <v>22</v>
      </c>
      <c r="E24" s="46">
        <f>IFERROR(ROUNDUP(Inputs!B57/B24,0),0)</f>
        <v>-57</v>
      </c>
      <c r="H24" s="1"/>
    </row>
    <row r="25" spans="1:52">
      <c r="A25" s="46">
        <f>Inputs!A58</f>
        <v>1200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43028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43009</v>
      </c>
      <c r="F33" t="s">
        <v>167</v>
      </c>
      <c r="G33" s="128">
        <f>IF(Inputs!B79="","",DATE(YEAR(Inputs!B79),MONTH(Inputs!B79),DAY(Inputs!B79)))</f>
        <v>42998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43059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43040</v>
      </c>
      <c r="F34" t="s">
        <v>168</v>
      </c>
      <c r="G34" s="128">
        <f>IF(Inputs!B80="","",DATE(YEAR(Inputs!B80),MONTH(Inputs!B80),DAY(Inputs!B80)))</f>
        <v>43028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43070</v>
      </c>
      <c r="F35" t="s">
        <v>170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43101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43132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43160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43210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43191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43240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43221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43271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43252</v>
      </c>
      <c r="F41" t="s">
        <v>234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43282</v>
      </c>
      <c r="F42" t="s">
        <v>235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43332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43363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302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302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302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100</v>
      </c>
      <c r="B41" s="191" t="s">
        <v>318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320</v>
      </c>
      <c r="H52" s="12" t="s">
        <v>131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236</v>
      </c>
      <c r="E53" s="10" t="s">
        <v>195</v>
      </c>
      <c r="F53" s="10" t="s">
        <v>255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318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318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318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318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318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318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318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173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232</v>
      </c>
      <c r="J76" s="11" t="s">
        <v>354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318</v>
      </c>
      <c r="F77" s="12" t="s">
        <v>318</v>
      </c>
      <c r="G77" s="12" t="s">
        <v>356</v>
      </c>
      <c r="H77" s="12" t="s">
        <v>131</v>
      </c>
      <c r="I77" s="12" t="s">
        <v>357</v>
      </c>
      <c r="J77" s="136" t="s">
        <v>358</v>
      </c>
      <c r="K77" s="12" t="s">
        <v>318</v>
      </c>
      <c r="AJ77" s="12"/>
    </row>
    <row r="78" spans="1:36">
      <c r="A78" t="s">
        <v>318</v>
      </c>
      <c r="B78" s="176">
        <v>5</v>
      </c>
      <c r="C78" s="134" t="s">
        <v>359</v>
      </c>
      <c r="D78" s="133"/>
      <c r="E78" s="12" t="s">
        <v>360</v>
      </c>
      <c r="F78" s="12" t="s">
        <v>93</v>
      </c>
      <c r="G78" s="12" t="s">
        <v>113</v>
      </c>
      <c r="H78" s="12" t="s">
        <v>321</v>
      </c>
      <c r="I78" s="12" t="s">
        <v>361</v>
      </c>
      <c r="J78" s="70" t="s">
        <v>362</v>
      </c>
      <c r="K78" s="12" t="s">
        <v>318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173</v>
      </c>
      <c r="J79" s="70" t="s">
        <v>366</v>
      </c>
      <c r="K79" s="12" t="s">
        <v>318</v>
      </c>
      <c r="AJ79" s="12"/>
    </row>
    <row r="80" spans="1:36">
      <c r="B80" s="176">
        <v>20</v>
      </c>
      <c r="C80" s="12" t="s">
        <v>367</v>
      </c>
      <c r="D80" s="12">
        <f>D79+1</f>
        <v>2</v>
      </c>
      <c r="E80" s="12" t="s">
        <v>91</v>
      </c>
      <c r="F80" s="12" t="s">
        <v>368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160</v>
      </c>
      <c r="D85" s="12">
        <f>D84+1</f>
        <v>7</v>
      </c>
    </row>
    <row r="86" spans="1:36">
      <c r="B86" s="176">
        <v>80</v>
      </c>
      <c r="C86" s="12" t="s">
        <v>161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98</v>
      </c>
      <c r="D89" s="12">
        <f>D88+1</f>
        <v>11</v>
      </c>
    </row>
    <row r="90" spans="1:36">
      <c r="C90" s="12" t="s">
        <v>96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