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<sst xmlns="http://schemas.openxmlformats.org/spreadsheetml/2006/main" uniqueCount="366">
  <si>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</si>
  <si>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</si>
  <si>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</si>
  <si>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</si>
  <si>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</si>
  <si>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</si>
  <si>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</si>
  <si>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</si>
  <si>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</si>
  <si>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</si>
  <si>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</si>
  <si>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</si>
  <si>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</si>
  <si>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</si>
  <si>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</si>
  <si>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</si>
  <si>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</si>
  <si>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</si>
  <si>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</si>
  <si>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</si>
  <si>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</si>
  <si>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</si>
  <si>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</si>
  <si>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</si>
  <si>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</si>
  <si>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</si>
  <si>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</si>
  <si>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</si>
  <si>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</si>
  <si>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</si>
  <si>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</si>
  <si>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</si>
  <si>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</si>
  <si>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</si>
  <si>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</si>
  <si>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</si>
  <si>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</si>
  <si>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</si>
  <si>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</si>
  <si>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</si>
  <si>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</si>
  <si>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</si>
  <si>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</si>
  <si>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</si>
  <si>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</si>
  <si>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</si>
  <si>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</si>
  <si>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</si>
  <si>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</si>
  <si>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</si>
  <si>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</si>
  <si>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</si>
  <si>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</si>
  <si>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</si>
  <si>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</si>
  <si>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</si>
  <si>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</si>
  <si>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</si>
  <si>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</si>
  <si>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</si>
  <si>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</si>
  <si>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</si>
  <si>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</si>
  <si>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</si>
  <si>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</si>
  <si>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</si>
  <si>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</si>
  <si>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</si>
  <si>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</si>
  <si>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</si>
  <si>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</si>
  <si>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</si>
  <si>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</si>
  <si>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</si>
  <si>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</si>
  <si>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</si>
  <si>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</si>
  <si>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</si>
  <si>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</si>
  <si>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</si>
  <si>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</si>
  <si>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</si>
  <si>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</si>
  <si>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</si>
  <si>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</si>
  <si>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</si>
  <si>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</si>
  <si>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</si>
  <si>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</si>
  <si>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</si>
  <si>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</si>
  <si>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</si>
  <si>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No</t>
  </si>
  <si>
    <t>Yes without the use of a pump</t>
  </si>
  <si>
    <t>February</t>
  </si>
  <si>
    <t>Bananas</t>
  </si>
  <si>
    <t>Other farmers</t>
  </si>
  <si>
    <t>every month</t>
  </si>
  <si>
    <t>Other crops</t>
  </si>
  <si>
    <t>Yes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</si>
  <si>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</si>
  <si>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</si>
  <si>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</si>
  <si>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</si>
  <si>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</si>
  <si>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</si>
  <si>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</si>
  <si>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</si>
  <si>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</si>
  <si>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</si>
  <si>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</si>
  <si>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</si>
  <si>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</si>
  <si>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</si>
  <si>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</si>
  <si>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</si>
  <si>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</si>
  <si>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</si>
  <si>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</si>
  <si>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selling of cows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</si>
  <si>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</si>
  <si>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</si>
  <si>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</si>
  <si>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</si>
  <si>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</si>
  <si>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</si>
  <si>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</si>
  <si>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</si>
  <si>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</si>
  <si>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</si>
  <si>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</si>
  <si>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</si>
  <si>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</si>
  <si>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</si>
  <si>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</si>
  <si>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</si>
  <si>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</si>
  <si>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</si>
  <si>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</si>
  <si>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</si>
  <si>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</si>
  <si>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</si>
  <si>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</si>
  <si>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</si>
  <si>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</si>
  <si>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</si>
  <si>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</si>
  <si>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</si>
  <si>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</si>
  <si>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</si>
  <si>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</si>
  <si>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</si>
  <si>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</si>
  <si>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</si>
  <si>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</si>
  <si>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August</t>
  </si>
  <si>
    <t>Loan info</t>
  </si>
  <si>
    <t>Branch ID</t>
  </si>
  <si>
    <t>Submission date</t>
  </si>
  <si>
    <t>2017/9/20</t>
  </si>
  <si>
    <t>Loan terms</t>
  </si>
  <si>
    <t>Expected disbursement date</t>
  </si>
  <si>
    <t>Expected first repayment date</t>
  </si>
  <si>
    <t>2017/10/25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</si>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</sst>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selling of cows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0.1910976513284832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0.01602564102564102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488817.7808603226</v>
      </c>
    </row>
    <row r="18" spans="1:7">
      <c r="B18" s="1" t="s">
        <v>12</v>
      </c>
      <c r="C18" s="36">
        <f>MIN(Output!B6:M6)</f>
        <v>25315.42191887097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62272.0074800875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39133.42191887097</v>
      </c>
      <c r="C6" s="51">
        <f>C30-C88</f>
        <v>39133.42191887097</v>
      </c>
      <c r="D6" s="51">
        <f>D30-D88</f>
        <v>39133.42191887097</v>
      </c>
      <c r="E6" s="51">
        <f>E30-E88</f>
        <v>39133.42191887097</v>
      </c>
      <c r="F6" s="51">
        <f>F30-F88</f>
        <v>39133.42191887097</v>
      </c>
      <c r="G6" s="51">
        <f>G30-G88</f>
        <v>25315.42191887097</v>
      </c>
      <c r="H6" s="51">
        <f>H30-H88</f>
        <v>39133.42191887097</v>
      </c>
      <c r="I6" s="51">
        <f>I30-I88</f>
        <v>39133.42191887097</v>
      </c>
      <c r="J6" s="51">
        <f>J30-J88</f>
        <v>39133.42191887097</v>
      </c>
      <c r="K6" s="51">
        <f>K30-K88</f>
        <v>39133.42191887097</v>
      </c>
      <c r="L6" s="51">
        <f>L30-L88</f>
        <v>49029.55419152531</v>
      </c>
      <c r="M6" s="51">
        <f>M30-M88</f>
        <v>62272.0074800875</v>
      </c>
      <c r="N6" s="51">
        <f>N30-N88</f>
        <v>39133.42191887097</v>
      </c>
      <c r="O6" s="51">
        <f>O30-O88</f>
        <v>39133.42191887097</v>
      </c>
      <c r="P6" s="51">
        <f>P30-P88</f>
        <v>39133.42191887097</v>
      </c>
      <c r="Q6" s="51">
        <f>Q30-Q88</f>
        <v>39133.42191887097</v>
      </c>
      <c r="R6" s="51">
        <f>R30-R88</f>
        <v>39133.42191887097</v>
      </c>
      <c r="S6" s="51">
        <f>S30-S88</f>
        <v>25315.42191887097</v>
      </c>
      <c r="T6" s="51">
        <f>T30-T88</f>
        <v>39133.42191887097</v>
      </c>
      <c r="U6" s="51">
        <f>U30-U88</f>
        <v>39133.42191887097</v>
      </c>
      <c r="V6" s="51">
        <f>V30-V88</f>
        <v>39133.42191887097</v>
      </c>
      <c r="W6" s="51">
        <f>W30-W88</f>
        <v>39133.42191887097</v>
      </c>
      <c r="X6" s="51">
        <f>X30-X88</f>
        <v>49029.55419152531</v>
      </c>
      <c r="Y6" s="51">
        <f>Y30-Y88</f>
        <v>62272.0074800875</v>
      </c>
      <c r="Z6" s="51">
        <f>SUMIF($B$13:$Y$13,"Yes",B6:Y6)</f>
        <v>527951.2027791935</v>
      </c>
      <c r="AA6" s="51">
        <f>AA30-AA88</f>
        <v>488817.7808603225</v>
      </c>
      <c r="AB6" s="51">
        <f>AB30-AB88</f>
        <v>977635.5617206452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6303</v>
      </c>
      <c r="I7" s="80">
        <f>IF(ISERROR(VLOOKUP(MONTH(I5),Inputs!$D$66:$D$71,1,0)),"",INDEX(Inputs!$B$66:$B$71,MATCH(MONTH(Output!I5),Inputs!$D$66:$D$71,0))-INDEX(Inputs!$C$66:$C$71,MATCH(MONTH(Output!I5),Inputs!$D$66:$D$71,0)))</f>
        <v>7211</v>
      </c>
      <c r="J7" s="80">
        <f>IF(ISERROR(VLOOKUP(MONTH(J5),Inputs!$D$66:$D$71,1,0)),"",INDEX(Inputs!$B$66:$B$71,MATCH(MONTH(Output!J5),Inputs!$D$66:$D$71,0))-INDEX(Inputs!$C$66:$C$71,MATCH(MONTH(Output!J5),Inputs!$D$66:$D$71,0)))</f>
        <v>309</v>
      </c>
      <c r="K7" s="80">
        <f>IF(ISERROR(VLOOKUP(MONTH(K5),Inputs!$D$66:$D$71,1,0)),"",INDEX(Inputs!$B$66:$B$71,MATCH(MONTH(Output!K5),Inputs!$D$66:$D$71,0))-INDEX(Inputs!$C$66:$C$71,MATCH(MONTH(Output!K5),Inputs!$D$66:$D$71,0)))</f>
        <v>604</v>
      </c>
      <c r="L7" s="80">
        <f>IF(ISERROR(VLOOKUP(MONTH(L5),Inputs!$D$66:$D$71,1,0)),"",INDEX(Inputs!$B$66:$B$71,MATCH(MONTH(Output!L5),Inputs!$D$66:$D$71,0))-INDEX(Inputs!$C$66:$C$71,MATCH(MONTH(Output!L5),Inputs!$D$66:$D$71,0)))</f>
        <v>3574</v>
      </c>
      <c r="M7" s="80">
        <f>IF(ISERROR(VLOOKUP(MONTH(M5),Inputs!$D$66:$D$71,1,0)),"",INDEX(Inputs!$B$66:$B$71,MATCH(MONTH(Output!M5),Inputs!$D$66:$D$71,0))-INDEX(Inputs!$C$66:$C$71,MATCH(MONTH(Output!M5),Inputs!$D$66:$D$71,0)))</f>
        <v>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6303</v>
      </c>
      <c r="U7" s="80">
        <f>IF(ISERROR(VLOOKUP(MONTH(U5),Inputs!$D$66:$D$71,1,0)),"",INDEX(Inputs!$B$66:$B$71,MATCH(MONTH(Output!U5),Inputs!$D$66:$D$71,0))-INDEX(Inputs!$C$66:$C$71,MATCH(MONTH(Output!U5),Inputs!$D$66:$D$71,0)))</f>
        <v>7211</v>
      </c>
      <c r="V7" s="80">
        <f>IF(ISERROR(VLOOKUP(MONTH(V5),Inputs!$D$66:$D$71,1,0)),"",INDEX(Inputs!$B$66:$B$71,MATCH(MONTH(Output!V5),Inputs!$D$66:$D$71,0))-INDEX(Inputs!$C$66:$C$71,MATCH(MONTH(Output!V5),Inputs!$D$66:$D$71,0)))</f>
        <v>309</v>
      </c>
      <c r="W7" s="80">
        <f>IF(ISERROR(VLOOKUP(MONTH(W5),Inputs!$D$66:$D$71,1,0)),"",INDEX(Inputs!$B$66:$B$71,MATCH(MONTH(Output!W5),Inputs!$D$66:$D$71,0))-INDEX(Inputs!$C$66:$C$71,MATCH(MONTH(Output!W5),Inputs!$D$66:$D$71,0)))</f>
        <v>604</v>
      </c>
      <c r="X7" s="80">
        <f>IF(ISERROR(VLOOKUP(MONTH(X5),Inputs!$D$66:$D$71,1,0)),"",INDEX(Inputs!$B$66:$B$71,MATCH(MONTH(Output!X5),Inputs!$D$66:$D$71,0))-INDEX(Inputs!$C$66:$C$71,MATCH(MONTH(Output!X5),Inputs!$D$66:$D$71,0)))</f>
        <v>3574</v>
      </c>
      <c r="Y7" s="80">
        <f>IF(ISERROR(VLOOKUP(MONTH(Y5),Inputs!$D$66:$D$71,1,0)),"",INDEX(Inputs!$B$66:$B$71,MATCH(MONTH(Output!Y5),Inputs!$D$66:$D$71,0))-INDEX(Inputs!$C$66:$C$71,MATCH(MONTH(Output!Y5),Inputs!$D$66:$D$71,0)))</f>
        <v>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139133.421918871</v>
      </c>
      <c r="C11" s="80">
        <f>C6+C9-C10</f>
        <v>29133.42191887097</v>
      </c>
      <c r="D11" s="80">
        <f>D6+D9-D10</f>
        <v>29133.42191887097</v>
      </c>
      <c r="E11" s="80">
        <f>E6+E9-E10</f>
        <v>29133.42191887097</v>
      </c>
      <c r="F11" s="80">
        <f>F6+F9-F10</f>
        <v>29133.42191887097</v>
      </c>
      <c r="G11" s="80">
        <f>G6+G9-G10</f>
        <v>15315.42191887097</v>
      </c>
      <c r="H11" s="80">
        <f>H6+H9-H10</f>
        <v>29133.42191887097</v>
      </c>
      <c r="I11" s="80">
        <f>I6+I9-I10</f>
        <v>29133.42191887097</v>
      </c>
      <c r="J11" s="80">
        <f>J6+J9-J10</f>
        <v>29133.42191887097</v>
      </c>
      <c r="K11" s="80">
        <f>K6+K9-K10</f>
        <v>29133.42191887097</v>
      </c>
      <c r="L11" s="80">
        <f>L6+L9-L10</f>
        <v>39029.55419152531</v>
      </c>
      <c r="M11" s="80">
        <f>M6+M9-M10</f>
        <v>52272.0074800875</v>
      </c>
      <c r="N11" s="80">
        <f>N6+N9-N10</f>
        <v>29133.42191887097</v>
      </c>
      <c r="O11" s="80">
        <f>O6+O9-O10</f>
        <v>39133.42191887097</v>
      </c>
      <c r="P11" s="80">
        <f>P6+P9-P10</f>
        <v>39133.42191887097</v>
      </c>
      <c r="Q11" s="80">
        <f>Q6+Q9-Q10</f>
        <v>39133.42191887097</v>
      </c>
      <c r="R11" s="80">
        <f>R6+R9-R10</f>
        <v>39133.42191887097</v>
      </c>
      <c r="S11" s="80">
        <f>S6+S9-S10</f>
        <v>25315.42191887097</v>
      </c>
      <c r="T11" s="80">
        <f>T6+T9-T10</f>
        <v>39133.42191887097</v>
      </c>
      <c r="U11" s="80">
        <f>U6+U9-U10</f>
        <v>39133.42191887097</v>
      </c>
      <c r="V11" s="80">
        <f>V6+V9-V10</f>
        <v>39133.42191887097</v>
      </c>
      <c r="W11" s="80">
        <f>W6+W9-W10</f>
        <v>39133.42191887097</v>
      </c>
      <c r="X11" s="80">
        <f>X6+X9-X10</f>
        <v>49029.55419152531</v>
      </c>
      <c r="Y11" s="80">
        <f>Y6+Y9-Y10</f>
        <v>62272.0074800875</v>
      </c>
      <c r="Z11" s="85">
        <f>SUMIF($B$13:$Y$13,"Yes",B11:Y11)</f>
        <v>507951.2027791935</v>
      </c>
      <c r="AA11" s="80">
        <f>SUM(B11:M11)</f>
        <v>478817.7808603226</v>
      </c>
      <c r="AB11" s="46">
        <f>SUM(B11:Y11)</f>
        <v>957635.5617206453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0.05609568097308087</v>
      </c>
      <c r="D12" s="82">
        <f>IF(D13="Yes",IF(SUM($B$10:D10)/(SUM($B$6:D6)+SUM($B$9:D9))&lt;0,999.99,SUM($B$10:D10)/(SUM($B$6:D6)+SUM($B$9:D9))),"")</f>
        <v>0.09199620768812992</v>
      </c>
      <c r="E12" s="82">
        <f>IF(E13="Yes",IF(SUM($B$10:E10)/(SUM($B$6:E6)+SUM($B$9:E9))&lt;0,999.99,SUM($B$10:E10)/(SUM($B$6:E6)+SUM($B$9:E9))),"")</f>
        <v>0.116943705412874</v>
      </c>
      <c r="F12" s="82">
        <f>IF(F13="Yes",IF(SUM($B$10:F10)/(SUM($B$6:F6)+SUM($B$9:F9))&lt;0,999.99,SUM($B$10:F10)/(SUM($B$6:F6)+SUM($B$9:F9))),"")</f>
        <v>0.1352872832384996</v>
      </c>
      <c r="G12" s="82">
        <f>IF(G13="Yes",IF(SUM($B$10:G10)/(SUM($B$6:G6)+SUM($B$9:G9))&lt;0,999.99,SUM($B$10:G10)/(SUM($B$6:G6)+SUM($B$9:G9))),"")</f>
        <v>0.1557717168105137</v>
      </c>
      <c r="H12" s="82">
        <f>IF(H13="Yes",IF(SUM($B$10:H10)/(SUM($B$6:H6)+SUM($B$9:H9))&lt;0,999.99,SUM($B$10:H10)/(SUM($B$6:H6)+SUM($B$9:H9))),"")</f>
        <v>0.1666130018072459</v>
      </c>
      <c r="I12" s="82">
        <f>IF(I13="Yes",IF(SUM($B$10:I10)/(SUM($B$6:I6)+SUM($B$9:I9))&lt;0,999.99,SUM($B$10:I10)/(SUM($B$6:I6)+SUM($B$9:I9))),"")</f>
        <v>0.1753290157021916</v>
      </c>
      <c r="J12" s="82">
        <f>IF(J13="Yes",IF(SUM($B$10:J10)/(SUM($B$6:J6)+SUM($B$9:J9))&lt;0,999.99,SUM($B$10:J10)/(SUM($B$6:J6)+SUM($B$9:J9))),"")</f>
        <v>0.1824889126540187</v>
      </c>
      <c r="K12" s="82">
        <f>IF(K13="Yes",IF(SUM($B$10:K10)/(SUM($B$6:K6)+SUM($B$9:K9))&lt;0,999.99,SUM($B$10:K10)/(SUM($B$6:K6)+SUM($B$9:K9))),"")</f>
        <v>0.1884752734742877</v>
      </c>
      <c r="L12" s="82">
        <f>IF(L13="Yes",IF(SUM($B$10:L10)/(SUM($B$6:L6)+SUM($B$9:L9))&lt;0,999.99,SUM($B$10:L10)/(SUM($B$6:L6)+SUM($B$9:L9))),"")</f>
        <v>0.1899170120729217</v>
      </c>
      <c r="M12" s="82">
        <f>IF(M13="Yes",IF(SUM($B$10:M10)/(SUM($B$6:M6)+SUM($B$9:M9))&lt;0,999.99,SUM($B$10:M10)/(SUM($B$6:M6)+SUM($B$9:M9))),"")</f>
        <v>0.186815010646042</v>
      </c>
      <c r="N12" s="82">
        <f>IF(N13="Yes",IF(SUM($B$10:N10)/(SUM($B$6:N6)+SUM($B$9:N9))&lt;0,999.99,SUM($B$10:N10)/(SUM($B$6:N6)+SUM($B$9:N9))),"")</f>
        <v>0.1910976513284832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19282.15463434711</v>
      </c>
      <c r="M18" s="36">
        <f>Y18</f>
        <v>23138.58556121654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19282.15463434711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23138.58556121654</v>
      </c>
      <c r="Z18" s="36">
        <f>SUMIF($B$13:$Y$13,"Yes",B18:Y18)</f>
        <v>42420.74019556365</v>
      </c>
      <c r="AA18" s="36">
        <f>SUM(B18:M18)</f>
        <v>42420.74019556365</v>
      </c>
      <c r="AB18" s="36">
        <f>SUM(B18:Y18)</f>
        <v>84841.48039112729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21977.4653</v>
      </c>
      <c r="C19" s="36">
        <f>O19</f>
        <v>21977.4653</v>
      </c>
      <c r="D19" s="36">
        <f>P19</f>
        <v>21977.4653</v>
      </c>
      <c r="E19" s="36">
        <f>Q19</f>
        <v>21977.4653</v>
      </c>
      <c r="F19" s="36">
        <f>R19</f>
        <v>21977.4653</v>
      </c>
      <c r="G19" s="36">
        <f>S19</f>
        <v>21977.4653</v>
      </c>
      <c r="H19" s="36">
        <f>T19</f>
        <v>21977.4653</v>
      </c>
      <c r="I19" s="36">
        <f>U19</f>
        <v>21977.4653</v>
      </c>
      <c r="J19" s="36">
        <f>V19</f>
        <v>21977.4653</v>
      </c>
      <c r="K19" s="36">
        <f>W19</f>
        <v>21977.4653</v>
      </c>
      <c r="L19" s="36">
        <f>X19</f>
        <v>21977.4653</v>
      </c>
      <c r="M19" s="36">
        <f>Y19</f>
        <v>21977.4653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21977.4653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21977.4653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21977.4653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21977.4653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21977.4653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21977.4653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21977.4653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21977.4653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21977.4653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21977.4653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21977.4653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21977.4653</v>
      </c>
      <c r="Z19" s="36">
        <f>SUMIF($B$13:$Y$13,"Yes",B19:Y19)</f>
        <v>285707.0488999999</v>
      </c>
      <c r="AA19" s="36">
        <f>SUM(B19:M19)</f>
        <v>263729.5835999999</v>
      </c>
      <c r="AB19" s="36">
        <f>SUM(B19:Y19)</f>
        <v>527459.1671999997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0</v>
      </c>
      <c r="C24" s="36">
        <f>IFERROR(Calculations!$P14/12,"")</f>
        <v>0</v>
      </c>
      <c r="D24" s="36">
        <f>IFERROR(Calculations!$P14/12,"")</f>
        <v>0</v>
      </c>
      <c r="E24" s="36">
        <f>IFERROR(Calculations!$P14/12,"")</f>
        <v>0</v>
      </c>
      <c r="F24" s="36">
        <f>IFERROR(Calculations!$P14/12,"")</f>
        <v>0</v>
      </c>
      <c r="G24" s="36">
        <f>IFERROR(Calculations!$P14/12,"")</f>
        <v>0</v>
      </c>
      <c r="H24" s="36">
        <f>IFERROR(Calculations!$P14/12,"")</f>
        <v>0</v>
      </c>
      <c r="I24" s="36">
        <f>IFERROR(Calculations!$P14/12,"")</f>
        <v>0</v>
      </c>
      <c r="J24" s="36">
        <f>IFERROR(Calculations!$P14/12,"")</f>
        <v>0</v>
      </c>
      <c r="K24" s="36">
        <f>IFERROR(Calculations!$P14/12,"")</f>
        <v>0</v>
      </c>
      <c r="L24" s="36">
        <f>IFERROR(Calculations!$P14/12,"")</f>
        <v>0</v>
      </c>
      <c r="M24" s="36">
        <f>IFERROR(Calculations!$P14/12,"")</f>
        <v>0</v>
      </c>
      <c r="N24" s="36">
        <f>IFERROR(Calculations!$P14/12,"")</f>
        <v>0</v>
      </c>
      <c r="O24" s="36">
        <f>IFERROR(Calculations!$P14/12,"")</f>
        <v>0</v>
      </c>
      <c r="P24" s="36">
        <f>IFERROR(Calculations!$P14/12,"")</f>
        <v>0</v>
      </c>
      <c r="Q24" s="36">
        <f>IFERROR(Calculations!$P14/12,"")</f>
        <v>0</v>
      </c>
      <c r="R24" s="36">
        <f>IFERROR(Calculations!$P14/12,"")</f>
        <v>0</v>
      </c>
      <c r="S24" s="36">
        <f>IFERROR(Calculations!$P14/12,"")</f>
        <v>0</v>
      </c>
      <c r="T24" s="36">
        <f>IFERROR(Calculations!$P14/12,"")</f>
        <v>0</v>
      </c>
      <c r="U24" s="36">
        <f>IFERROR(Calculations!$P14/12,"")</f>
        <v>0</v>
      </c>
      <c r="V24" s="36">
        <f>IFERROR(Calculations!$P14/12,"")</f>
        <v>0</v>
      </c>
      <c r="W24" s="36">
        <f>IFERROR(Calculations!$P14/12,"")</f>
        <v>0</v>
      </c>
      <c r="X24" s="36">
        <f>IFERROR(Calculations!$P14/12,"")</f>
        <v>0</v>
      </c>
      <c r="Y24" s="36">
        <f>IFERROR(Calculations!$P14/12,"")</f>
        <v>0</v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650000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71977.4653</v>
      </c>
      <c r="C30" s="19">
        <f>SUM(C18:C29)</f>
        <v>71977.4653</v>
      </c>
      <c r="D30" s="19">
        <f>SUM(D18:D29)</f>
        <v>71977.4653</v>
      </c>
      <c r="E30" s="19">
        <f>SUM(E18:E29)</f>
        <v>71977.4653</v>
      </c>
      <c r="F30" s="19">
        <f>SUM(F18:F29)</f>
        <v>71977.4653</v>
      </c>
      <c r="G30" s="19">
        <f>SUM(G18:G29)</f>
        <v>71977.4653</v>
      </c>
      <c r="H30" s="19">
        <f>SUM(H18:H29)</f>
        <v>71977.4653</v>
      </c>
      <c r="I30" s="19">
        <f>SUM(I18:I29)</f>
        <v>71977.4653</v>
      </c>
      <c r="J30" s="19">
        <f>SUM(J18:J29)</f>
        <v>71977.4653</v>
      </c>
      <c r="K30" s="19">
        <f>SUM(K18:K29)</f>
        <v>71977.4653</v>
      </c>
      <c r="L30" s="19">
        <f>SUM(L18:L29)</f>
        <v>91259.61993434711</v>
      </c>
      <c r="M30" s="19">
        <f>SUM(M18:M29)</f>
        <v>95116.05086121653</v>
      </c>
      <c r="N30" s="19">
        <f>SUM(N18:N29)</f>
        <v>71977.4653</v>
      </c>
      <c r="O30" s="19">
        <f>SUM(O18:O29)</f>
        <v>71977.4653</v>
      </c>
      <c r="P30" s="19">
        <f>SUM(P18:P29)</f>
        <v>71977.4653</v>
      </c>
      <c r="Q30" s="19">
        <f>SUM(Q18:Q29)</f>
        <v>71977.4653</v>
      </c>
      <c r="R30" s="19">
        <f>SUM(R18:R29)</f>
        <v>71977.4653</v>
      </c>
      <c r="S30" s="19">
        <f>SUM(S18:S29)</f>
        <v>71977.4653</v>
      </c>
      <c r="T30" s="19">
        <f>SUM(T18:T29)</f>
        <v>71977.4653</v>
      </c>
      <c r="U30" s="19">
        <f>SUM(U18:U29)</f>
        <v>71977.4653</v>
      </c>
      <c r="V30" s="19">
        <f>SUM(V18:V29)</f>
        <v>71977.4653</v>
      </c>
      <c r="W30" s="19">
        <f>SUM(W18:W29)</f>
        <v>71977.4653</v>
      </c>
      <c r="X30" s="19">
        <f>SUM(X18:X29)</f>
        <v>91259.61993434711</v>
      </c>
      <c r="Y30" s="19">
        <f>SUM(Y18:Y29)</f>
        <v>95116.05086121653</v>
      </c>
      <c r="Z30" s="19">
        <f>SUMIF($B$13:$Y$13,"Yes",B30:Y30)</f>
        <v>978127.7890955637</v>
      </c>
      <c r="AA30" s="19">
        <f>SUM(B30:M30)</f>
        <v>906150.3237955637</v>
      </c>
      <c r="AB30" s="19">
        <f>SUM(B30:Y30)</f>
        <v>1812300.647591128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12000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12000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12000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12000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12000</v>
      </c>
      <c r="AA37" s="36">
        <f>SUM(B37:M37)</f>
        <v>12000</v>
      </c>
      <c r="AB37" s="36">
        <f>SUM(B37:Y37)</f>
        <v>24000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1818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1818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1818</v>
      </c>
      <c r="AA42" s="36">
        <f>SUM(B42:M42)</f>
        <v>1818</v>
      </c>
      <c r="AB42" s="36">
        <f>SUM(B42:Y42)</f>
        <v>3636.000000000001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1818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1818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1818</v>
      </c>
      <c r="AA43" s="36">
        <f>SUM(B43:M43)</f>
        <v>1818</v>
      </c>
      <c r="AB43" s="36">
        <f>SUM(B43:Y43)</f>
        <v>3636.000000000001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9386.022361692772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9386.022361692772</v>
      </c>
      <c r="Y54" s="46">
        <f>SUM(Y55:Y59)</f>
        <v>0</v>
      </c>
      <c r="Z54" s="46">
        <f>SUMIF($B$13:$Y$13,"Yes",B54:Y54)</f>
        <v>9386.022361692772</v>
      </c>
      <c r="AA54" s="46">
        <f>SUM(B54:M54)</f>
        <v>9386.022361692772</v>
      </c>
      <c r="AB54" s="46">
        <f>SUM(B54:Y54)</f>
        <v>18772.04472338554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9386.022361692772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9386.022361692772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9386.022361692772</v>
      </c>
      <c r="AA55" s="46">
        <f>SUM(B55:M55)</f>
        <v>9386.022361692772</v>
      </c>
      <c r="AB55" s="46">
        <f>SUM(B55:Y55)</f>
        <v>18772.04472338554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Maize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166.6666666666667</v>
      </c>
      <c r="C75" s="46">
        <f>SUM(Calculations!$R$14:$R$16)/12</f>
        <v>166.6666666666667</v>
      </c>
      <c r="D75" s="46">
        <f>SUM(Calculations!$R$14:$R$16)/12</f>
        <v>166.6666666666667</v>
      </c>
      <c r="E75" s="46">
        <f>SUM(Calculations!$R$14:$R$16)/12</f>
        <v>166.6666666666667</v>
      </c>
      <c r="F75" s="46">
        <f>SUM(Calculations!$R$14:$R$16)/12</f>
        <v>166.6666666666667</v>
      </c>
      <c r="G75" s="46">
        <f>SUM(Calculations!$R$14:$R$16)/12</f>
        <v>166.6666666666667</v>
      </c>
      <c r="H75" s="46">
        <f>SUM(Calculations!$R$14:$R$16)/12</f>
        <v>166.6666666666667</v>
      </c>
      <c r="I75" s="46">
        <f>SUM(Calculations!$R$14:$R$16)/12</f>
        <v>166.6666666666667</v>
      </c>
      <c r="J75" s="46">
        <f>SUM(Calculations!$R$14:$R$16)/12</f>
        <v>166.6666666666667</v>
      </c>
      <c r="K75" s="46">
        <f>SUM(Calculations!$R$14:$R$16)/12</f>
        <v>166.6666666666667</v>
      </c>
      <c r="L75" s="46">
        <f>SUM(Calculations!$R$14:$R$16)/12</f>
        <v>166.6666666666667</v>
      </c>
      <c r="M75" s="46">
        <f>SUM(Calculations!$R$14:$R$16)/12</f>
        <v>166.6666666666667</v>
      </c>
      <c r="N75" s="46">
        <f>SUM(Calculations!$R$14:$R$16)/12</f>
        <v>166.6666666666667</v>
      </c>
      <c r="O75" s="46">
        <f>SUM(Calculations!$R$14:$R$16)/12</f>
        <v>166.6666666666667</v>
      </c>
      <c r="P75" s="46">
        <f>SUM(Calculations!$R$14:$R$16)/12</f>
        <v>166.6666666666667</v>
      </c>
      <c r="Q75" s="46">
        <f>SUM(Calculations!$R$14:$R$16)/12</f>
        <v>166.6666666666667</v>
      </c>
      <c r="R75" s="46">
        <f>SUM(Calculations!$R$14:$R$16)/12</f>
        <v>166.6666666666667</v>
      </c>
      <c r="S75" s="46">
        <f>SUM(Calculations!$R$14:$R$16)/12</f>
        <v>166.6666666666667</v>
      </c>
      <c r="T75" s="46">
        <f>SUM(Calculations!$R$14:$R$16)/12</f>
        <v>166.6666666666667</v>
      </c>
      <c r="U75" s="46">
        <f>SUM(Calculations!$R$14:$R$16)/12</f>
        <v>166.6666666666667</v>
      </c>
      <c r="V75" s="46">
        <f>SUM(Calculations!$R$14:$R$16)/12</f>
        <v>166.6666666666667</v>
      </c>
      <c r="W75" s="46">
        <f>SUM(Calculations!$R$14:$R$16)/12</f>
        <v>166.6666666666667</v>
      </c>
      <c r="X75" s="46">
        <f>SUM(Calculations!$R$14:$R$16)/12</f>
        <v>166.6666666666667</v>
      </c>
      <c r="Y75" s="46">
        <f>SUM(Calculations!$R$14:$R$16)/12</f>
        <v>166.6666666666667</v>
      </c>
      <c r="Z75" s="46">
        <f>SUMIF($B$13:$Y$13,"Yes",B75:Y75)</f>
        <v>2166.666666666667</v>
      </c>
      <c r="AA75" s="46">
        <f>SUM(B75:M75)</f>
        <v>2000</v>
      </c>
      <c r="AB75" s="46">
        <f>SUM(B75:Y75)</f>
        <v>3999.999999999999</v>
      </c>
    </row>
    <row r="76" spans="1:30">
      <c r="A76" s="16" t="s">
        <v>48</v>
      </c>
      <c r="B76" s="46">
        <f>SUM(Calculations!$S$14:$S$16)/12</f>
        <v>1000</v>
      </c>
      <c r="C76" s="46">
        <f>SUM(Calculations!$S$14:$S$16)/12</f>
        <v>1000</v>
      </c>
      <c r="D76" s="46">
        <f>SUM(Calculations!$S$14:$S$16)/12</f>
        <v>1000</v>
      </c>
      <c r="E76" s="46">
        <f>SUM(Calculations!$S$14:$S$16)/12</f>
        <v>1000</v>
      </c>
      <c r="F76" s="46">
        <f>SUM(Calculations!$S$14:$S$16)/12</f>
        <v>1000</v>
      </c>
      <c r="G76" s="46">
        <f>SUM(Calculations!$S$14:$S$16)/12</f>
        <v>1000</v>
      </c>
      <c r="H76" s="46">
        <f>SUM(Calculations!$S$14:$S$16)/12</f>
        <v>1000</v>
      </c>
      <c r="I76" s="46">
        <f>SUM(Calculations!$S$14:$S$16)/12</f>
        <v>1000</v>
      </c>
      <c r="J76" s="46">
        <f>SUM(Calculations!$S$14:$S$16)/12</f>
        <v>1000</v>
      </c>
      <c r="K76" s="46">
        <f>SUM(Calculations!$S$14:$S$16)/12</f>
        <v>1000</v>
      </c>
      <c r="L76" s="46">
        <f>SUM(Calculations!$S$14:$S$16)/12</f>
        <v>1000</v>
      </c>
      <c r="M76" s="46">
        <f>SUM(Calculations!$S$14:$S$16)/12</f>
        <v>1000</v>
      </c>
      <c r="N76" s="46">
        <f>SUM(Calculations!$S$14:$S$16)/12</f>
        <v>1000</v>
      </c>
      <c r="O76" s="46">
        <f>SUM(Calculations!$S$14:$S$16)/12</f>
        <v>1000</v>
      </c>
      <c r="P76" s="46">
        <f>SUM(Calculations!$S$14:$S$16)/12</f>
        <v>1000</v>
      </c>
      <c r="Q76" s="46">
        <f>SUM(Calculations!$S$14:$S$16)/12</f>
        <v>1000</v>
      </c>
      <c r="R76" s="46">
        <f>SUM(Calculations!$S$14:$S$16)/12</f>
        <v>1000</v>
      </c>
      <c r="S76" s="46">
        <f>SUM(Calculations!$S$14:$S$16)/12</f>
        <v>1000</v>
      </c>
      <c r="T76" s="46">
        <f>SUM(Calculations!$S$14:$S$16)/12</f>
        <v>1000</v>
      </c>
      <c r="U76" s="46">
        <f>SUM(Calculations!$S$14:$S$16)/12</f>
        <v>1000</v>
      </c>
      <c r="V76" s="46">
        <f>SUM(Calculations!$S$14:$S$16)/12</f>
        <v>1000</v>
      </c>
      <c r="W76" s="46">
        <f>SUM(Calculations!$S$14:$S$16)/12</f>
        <v>1000</v>
      </c>
      <c r="X76" s="46">
        <f>SUM(Calculations!$S$14:$S$16)/12</f>
        <v>1000</v>
      </c>
      <c r="Y76" s="46">
        <f>SUM(Calculations!$S$14:$S$16)/12</f>
        <v>1000</v>
      </c>
      <c r="Z76" s="46">
        <f>SUMIF($B$13:$Y$13,"Yes",B76:Y76)</f>
        <v>13000</v>
      </c>
      <c r="AA76" s="46">
        <f>SUM(B76:M76)</f>
        <v>12000</v>
      </c>
      <c r="AB76" s="46">
        <f>SUM(B76:Y76)</f>
        <v>24000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</v>
      </c>
      <c r="C79" s="46">
        <f>Inputs!$B$31</f>
        <v>3000</v>
      </c>
      <c r="D79" s="46">
        <f>Inputs!$B$31</f>
        <v>3000</v>
      </c>
      <c r="E79" s="46">
        <f>Inputs!$B$31</f>
        <v>3000</v>
      </c>
      <c r="F79" s="46">
        <f>Inputs!$B$31</f>
        <v>3000</v>
      </c>
      <c r="G79" s="46">
        <f>Inputs!$B$31</f>
        <v>3000</v>
      </c>
      <c r="H79" s="46">
        <f>Inputs!$B$31</f>
        <v>3000</v>
      </c>
      <c r="I79" s="46">
        <f>Inputs!$B$31</f>
        <v>3000</v>
      </c>
      <c r="J79" s="46">
        <f>Inputs!$B$31</f>
        <v>3000</v>
      </c>
      <c r="K79" s="46">
        <f>Inputs!$B$31</f>
        <v>3000</v>
      </c>
      <c r="L79" s="46">
        <f>Inputs!$B$31</f>
        <v>3000</v>
      </c>
      <c r="M79" s="46">
        <f>Inputs!$B$31</f>
        <v>3000</v>
      </c>
      <c r="N79" s="46">
        <f>Inputs!$B$31</f>
        <v>3000</v>
      </c>
      <c r="O79" s="46">
        <f>Inputs!$B$31</f>
        <v>3000</v>
      </c>
      <c r="P79" s="46">
        <f>Inputs!$B$31</f>
        <v>3000</v>
      </c>
      <c r="Q79" s="46">
        <f>Inputs!$B$31</f>
        <v>3000</v>
      </c>
      <c r="R79" s="46">
        <f>Inputs!$B$31</f>
        <v>3000</v>
      </c>
      <c r="S79" s="46">
        <f>Inputs!$B$31</f>
        <v>3000</v>
      </c>
      <c r="T79" s="46">
        <f>Inputs!$B$31</f>
        <v>3000</v>
      </c>
      <c r="U79" s="46">
        <f>Inputs!$B$31</f>
        <v>3000</v>
      </c>
      <c r="V79" s="46">
        <f>Inputs!$B$31</f>
        <v>3000</v>
      </c>
      <c r="W79" s="46">
        <f>Inputs!$B$31</f>
        <v>3000</v>
      </c>
      <c r="X79" s="46">
        <f>Inputs!$B$31</f>
        <v>3000</v>
      </c>
      <c r="Y79" s="46">
        <f>Inputs!$B$31</f>
        <v>3000</v>
      </c>
      <c r="Z79" s="46">
        <f>SUMIF($B$13:$Y$13,"Yes",B79:Y79)</f>
        <v>39000</v>
      </c>
      <c r="AA79" s="46">
        <f>SUM(B79:M79)</f>
        <v>36000</v>
      </c>
      <c r="AB79" s="46">
        <f>SUM(B79:Y79)</f>
        <v>72000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27156.54338112903</v>
      </c>
      <c r="C81" s="46">
        <f>(SUM($AA$18:$AA$29)-SUM($AA$36,$AA$42,$AA$48,$AA$54,$AA$60,$AA$66,$AA$72:$AA$79))*Parameters!$B$37/12</f>
        <v>27156.54338112903</v>
      </c>
      <c r="D81" s="46">
        <f>(SUM($AA$18:$AA$29)-SUM($AA$36,$AA$42,$AA$48,$AA$54,$AA$60,$AA$66,$AA$72:$AA$79))*Parameters!$B$37/12</f>
        <v>27156.54338112903</v>
      </c>
      <c r="E81" s="46">
        <f>(SUM($AA$18:$AA$29)-SUM($AA$36,$AA$42,$AA$48,$AA$54,$AA$60,$AA$66,$AA$72:$AA$79))*Parameters!$B$37/12</f>
        <v>27156.54338112903</v>
      </c>
      <c r="F81" s="46">
        <f>(SUM($AA$18:$AA$29)-SUM($AA$36,$AA$42,$AA$48,$AA$54,$AA$60,$AA$66,$AA$72:$AA$79))*Parameters!$B$37/12</f>
        <v>27156.54338112903</v>
      </c>
      <c r="G81" s="46">
        <f>(SUM($AA$18:$AA$29)-SUM($AA$36,$AA$42,$AA$48,$AA$54,$AA$60,$AA$66,$AA$72:$AA$79))*Parameters!$B$37/12</f>
        <v>27156.54338112903</v>
      </c>
      <c r="H81" s="46">
        <f>(SUM($AA$18:$AA$29)-SUM($AA$36,$AA$42,$AA$48,$AA$54,$AA$60,$AA$66,$AA$72:$AA$79))*Parameters!$B$37/12</f>
        <v>27156.54338112903</v>
      </c>
      <c r="I81" s="46">
        <f>(SUM($AA$18:$AA$29)-SUM($AA$36,$AA$42,$AA$48,$AA$54,$AA$60,$AA$66,$AA$72:$AA$79))*Parameters!$B$37/12</f>
        <v>27156.54338112903</v>
      </c>
      <c r="J81" s="46">
        <f>(SUM($AA$18:$AA$29)-SUM($AA$36,$AA$42,$AA$48,$AA$54,$AA$60,$AA$66,$AA$72:$AA$79))*Parameters!$B$37/12</f>
        <v>27156.54338112903</v>
      </c>
      <c r="K81" s="46">
        <f>(SUM($AA$18:$AA$29)-SUM($AA$36,$AA$42,$AA$48,$AA$54,$AA$60,$AA$66,$AA$72:$AA$79))*Parameters!$B$37/12</f>
        <v>27156.54338112903</v>
      </c>
      <c r="L81" s="46">
        <f>(SUM($AA$18:$AA$29)-SUM($AA$36,$AA$42,$AA$48,$AA$54,$AA$60,$AA$66,$AA$72:$AA$79))*Parameters!$B$37/12</f>
        <v>27156.54338112903</v>
      </c>
      <c r="M81" s="46">
        <f>(SUM($AA$18:$AA$29)-SUM($AA$36,$AA$42,$AA$48,$AA$54,$AA$60,$AA$66,$AA$72:$AA$79))*Parameters!$B$37/12</f>
        <v>27156.54338112903</v>
      </c>
      <c r="N81" s="46">
        <f>(SUM($AA$18:$AA$29)-SUM($AA$36,$AA$42,$AA$48,$AA$54,$AA$60,$AA$66,$AA$72:$AA$79))*Parameters!$B$37/12</f>
        <v>27156.54338112903</v>
      </c>
      <c r="O81" s="46">
        <f>(SUM($AA$18:$AA$29)-SUM($AA$36,$AA$42,$AA$48,$AA$54,$AA$60,$AA$66,$AA$72:$AA$79))*Parameters!$B$37/12</f>
        <v>27156.54338112903</v>
      </c>
      <c r="P81" s="46">
        <f>(SUM($AA$18:$AA$29)-SUM($AA$36,$AA$42,$AA$48,$AA$54,$AA$60,$AA$66,$AA$72:$AA$79))*Parameters!$B$37/12</f>
        <v>27156.54338112903</v>
      </c>
      <c r="Q81" s="46">
        <f>(SUM($AA$18:$AA$29)-SUM($AA$36,$AA$42,$AA$48,$AA$54,$AA$60,$AA$66,$AA$72:$AA$79))*Parameters!$B$37/12</f>
        <v>27156.54338112903</v>
      </c>
      <c r="R81" s="46">
        <f>(SUM($AA$18:$AA$29)-SUM($AA$36,$AA$42,$AA$48,$AA$54,$AA$60,$AA$66,$AA$72:$AA$79))*Parameters!$B$37/12</f>
        <v>27156.54338112903</v>
      </c>
      <c r="S81" s="46">
        <f>(SUM($AA$18:$AA$29)-SUM($AA$36,$AA$42,$AA$48,$AA$54,$AA$60,$AA$66,$AA$72:$AA$79))*Parameters!$B$37/12</f>
        <v>27156.54338112903</v>
      </c>
      <c r="T81" s="46">
        <f>(SUM($AA$18:$AA$29)-SUM($AA$36,$AA$42,$AA$48,$AA$54,$AA$60,$AA$66,$AA$72:$AA$79))*Parameters!$B$37/12</f>
        <v>27156.54338112903</v>
      </c>
      <c r="U81" s="46">
        <f>(SUM($AA$18:$AA$29)-SUM($AA$36,$AA$42,$AA$48,$AA$54,$AA$60,$AA$66,$AA$72:$AA$79))*Parameters!$B$37/12</f>
        <v>27156.54338112903</v>
      </c>
      <c r="V81" s="46">
        <f>(SUM($AA$18:$AA$29)-SUM($AA$36,$AA$42,$AA$48,$AA$54,$AA$60,$AA$66,$AA$72:$AA$79))*Parameters!$B$37/12</f>
        <v>27156.54338112903</v>
      </c>
      <c r="W81" s="46">
        <f>(SUM($AA$18:$AA$29)-SUM($AA$36,$AA$42,$AA$48,$AA$54,$AA$60,$AA$66,$AA$72:$AA$79))*Parameters!$B$37/12</f>
        <v>27156.54338112903</v>
      </c>
      <c r="X81" s="46">
        <f>(SUM($AA$18:$AA$29)-SUM($AA$36,$AA$42,$AA$48,$AA$54,$AA$60,$AA$66,$AA$72:$AA$79))*Parameters!$B$37/12</f>
        <v>27156.54338112903</v>
      </c>
      <c r="Y81" s="46">
        <f>(SUM($AA$18:$AA$29)-SUM($AA$36,$AA$42,$AA$48,$AA$54,$AA$60,$AA$66,$AA$72:$AA$79))*Parameters!$B$37/12</f>
        <v>27156.54338112903</v>
      </c>
      <c r="Z81" s="46">
        <f>SUMIF($B$13:$Y$13,"Yes",B81:Y81)</f>
        <v>353035.0639546775</v>
      </c>
      <c r="AA81" s="46">
        <f>SUM(B81:M81)</f>
        <v>325878.5205735484</v>
      </c>
      <c r="AB81" s="46">
        <f>SUM(B81:Y81)</f>
        <v>651757.0411470969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32844.04338112903</v>
      </c>
      <c r="C88" s="19">
        <f>SUM(C72:C82,C66,C60,C54,C48,C42,C36)</f>
        <v>32844.04338112903</v>
      </c>
      <c r="D88" s="19">
        <f>SUM(D72:D82,D66,D60,D54,D48,D42,D36)</f>
        <v>32844.04338112903</v>
      </c>
      <c r="E88" s="19">
        <f>SUM(E72:E82,E66,E60,E54,E48,E42,E36)</f>
        <v>32844.04338112903</v>
      </c>
      <c r="F88" s="19">
        <f>SUM(F72:F82,F66,F60,F54,F48,F42,F36)</f>
        <v>32844.04338112903</v>
      </c>
      <c r="G88" s="19">
        <f>SUM(G72:G82,G66,G60,G54,G48,G42,G36)</f>
        <v>46662.04338112903</v>
      </c>
      <c r="H88" s="19">
        <f>SUM(H72:H82,H66,H60,H54,H48,H42,H36)</f>
        <v>32844.04338112903</v>
      </c>
      <c r="I88" s="19">
        <f>SUM(I72:I82,I66,I60,I54,I48,I42,I36)</f>
        <v>32844.04338112903</v>
      </c>
      <c r="J88" s="19">
        <f>SUM(J72:J82,J66,J60,J54,J48,J42,J36)</f>
        <v>32844.04338112903</v>
      </c>
      <c r="K88" s="19">
        <f>SUM(K72:K82,K66,K60,K54,K48,K42,K36)</f>
        <v>32844.04338112903</v>
      </c>
      <c r="L88" s="19">
        <f>SUM(L72:L82,L66,L60,L54,L48,L42,L36)</f>
        <v>42230.0657428218</v>
      </c>
      <c r="M88" s="19">
        <f>SUM(M72:M82,M66,M60,M54,M48,M42,M36)</f>
        <v>32844.04338112903</v>
      </c>
      <c r="N88" s="19">
        <f>SUM(N72:N82,N66,N60,N54,N48,N42,N36)</f>
        <v>32844.04338112903</v>
      </c>
      <c r="O88" s="19">
        <f>SUM(O72:O82,O66,O60,O54,O48,O42,O36)</f>
        <v>32844.04338112903</v>
      </c>
      <c r="P88" s="19">
        <f>SUM(P72:P82,P66,P60,P54,P48,P42,P36)</f>
        <v>32844.04338112903</v>
      </c>
      <c r="Q88" s="19">
        <f>SUM(Q72:Q82,Q66,Q60,Q54,Q48,Q42,Q36)</f>
        <v>32844.04338112903</v>
      </c>
      <c r="R88" s="19">
        <f>SUM(R72:R82,R66,R60,R54,R48,R42,R36)</f>
        <v>32844.04338112903</v>
      </c>
      <c r="S88" s="19">
        <f>SUM(S72:S82,S66,S60,S54,S48,S42,S36)</f>
        <v>46662.04338112903</v>
      </c>
      <c r="T88" s="19">
        <f>SUM(T72:T82,T66,T60,T54,T48,T42,T36)</f>
        <v>32844.04338112903</v>
      </c>
      <c r="U88" s="19">
        <f>SUM(U72:U82,U66,U60,U54,U48,U42,U36)</f>
        <v>32844.04338112903</v>
      </c>
      <c r="V88" s="19">
        <f>SUM(V72:V82,V66,V60,V54,V48,V42,V36)</f>
        <v>32844.04338112903</v>
      </c>
      <c r="W88" s="19">
        <f>SUM(W72:W82,W66,W60,W54,W48,W42,W36)</f>
        <v>32844.04338112903</v>
      </c>
      <c r="X88" s="19">
        <f>SUM(X72:X82,X66,X60,X54,X48,X42,X36)</f>
        <v>42230.0657428218</v>
      </c>
      <c r="Y88" s="19">
        <f>SUM(Y72:Y82,Y66,Y60,Y54,Y48,Y42,Y36)</f>
        <v>32844.04338112903</v>
      </c>
      <c r="Z88" s="19">
        <f>SUMIF($B$13:$Y$13,"Yes",B88:Y88)</f>
        <v>450176.5863163702</v>
      </c>
      <c r="AA88" s="19">
        <f>SUM(B88:M88)</f>
        <v>417332.5429352412</v>
      </c>
      <c r="AB88" s="19">
        <f>SUM(B88:Y88)</f>
        <v>834665.0858704824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3000000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350000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6240000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 t="s">
        <v>98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99</v>
      </c>
      <c r="I9" s="147" t="s">
        <v>93</v>
      </c>
      <c r="J9" s="148" t="s">
        <v>97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100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101</v>
      </c>
      <c r="B18" s="10" t="s">
        <v>102</v>
      </c>
      <c r="C18" s="10" t="s">
        <v>103</v>
      </c>
      <c r="D18" s="10" t="s">
        <v>104</v>
      </c>
      <c r="E18" s="10" t="s">
        <v>105</v>
      </c>
      <c r="F18" s="10" t="s">
        <v>106</v>
      </c>
      <c r="G18" s="10" t="s">
        <v>107</v>
      </c>
      <c r="H18" s="10" t="s">
        <v>108</v>
      </c>
      <c r="I18" s="10" t="s">
        <v>109</v>
      </c>
      <c r="J18" s="10" t="s">
        <v>110</v>
      </c>
      <c r="K18" s="10" t="s">
        <v>111</v>
      </c>
      <c r="L18" s="10" t="s">
        <v>112</v>
      </c>
    </row>
    <row r="19" spans="1:48">
      <c r="A19" s="142" t="s">
        <v>113</v>
      </c>
      <c r="B19" s="20"/>
      <c r="C19" s="142">
        <v>2</v>
      </c>
      <c r="D19" s="145">
        <v>2</v>
      </c>
      <c r="E19" s="20"/>
      <c r="F19" s="145" t="s">
        <v>99</v>
      </c>
      <c r="G19" s="20"/>
      <c r="H19" s="20"/>
      <c r="I19" s="145" t="s">
        <v>114</v>
      </c>
      <c r="J19" s="145">
        <v>100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50000</v>
      </c>
    </row>
    <row r="31" spans="1:48">
      <c r="A31" s="5" t="s">
        <v>121</v>
      </c>
      <c r="B31" s="158">
        <v>3000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99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99</v>
      </c>
    </row>
    <row r="45" spans="1:48">
      <c r="A45" s="56" t="s">
        <v>134</v>
      </c>
      <c r="B45" s="161">
        <v>850000</v>
      </c>
    </row>
    <row r="46" spans="1:48" customHeight="1" ht="30">
      <c r="A46" s="57" t="s">
        <v>135</v>
      </c>
      <c r="B46" s="161">
        <v>350000</v>
      </c>
    </row>
    <row r="47" spans="1:48" customHeight="1" ht="30">
      <c r="A47" s="57" t="s">
        <v>136</v>
      </c>
      <c r="B47" s="161">
        <v>120000</v>
      </c>
    </row>
    <row r="48" spans="1:48" customHeight="1" ht="30">
      <c r="A48" s="57" t="s">
        <v>137</v>
      </c>
      <c r="B48" s="161">
        <v>1500000</v>
      </c>
    </row>
    <row r="49" spans="1:48" customHeight="1" ht="30">
      <c r="A49" s="57" t="s">
        <v>138</v>
      </c>
      <c r="B49" s="161">
        <v>20000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18211</v>
      </c>
      <c r="C66" s="163">
        <v>11908</v>
      </c>
      <c r="D66" s="49">
        <f>INDEX(Parameters!$D$79:$D$90,MATCH(Inputs!A66,Parameters!$C$79:$C$90,0))</f>
        <v>3</v>
      </c>
    </row>
    <row r="67" spans="1:48">
      <c r="A67" s="143" t="s">
        <v>151</v>
      </c>
      <c r="B67" s="157">
        <v>20477</v>
      </c>
      <c r="C67" s="165">
        <v>13266</v>
      </c>
      <c r="D67" s="49">
        <f>INDEX(Parameters!$D$79:$D$90,MATCH(Inputs!A67,Parameters!$C$79:$C$90,0))</f>
        <v>4</v>
      </c>
    </row>
    <row r="68" spans="1:48">
      <c r="A68" s="143" t="s">
        <v>152</v>
      </c>
      <c r="B68" s="157">
        <v>5657</v>
      </c>
      <c r="C68" s="165">
        <v>5348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22972</v>
      </c>
      <c r="C69" s="165">
        <v>22368</v>
      </c>
      <c r="D69" s="49">
        <f>INDEX(Parameters!$D$79:$D$90,MATCH(Inputs!A69,Parameters!$C$79:$C$90,0))</f>
        <v>6</v>
      </c>
    </row>
    <row r="70" spans="1:48">
      <c r="A70" s="143" t="s">
        <v>154</v>
      </c>
      <c r="B70" s="157">
        <v>12458</v>
      </c>
      <c r="C70" s="165">
        <v>8884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32765</v>
      </c>
      <c r="C71" s="167">
        <v>32756</v>
      </c>
      <c r="D71" s="49">
        <f>INDEX(Parameters!$D$79:$D$90,MATCH(Inputs!A71,Parameters!$C$79:$C$90,0))</f>
        <v>8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7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43132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43132</v>
      </c>
      <c r="F4" s="38">
        <f>IFERROR(IF($S4=0,"",IF($S4=2,DATE(YEAR(C4),MONTH(C4)+6,DAY(C4)),IF($S4=1,C4,""))),"")</f>
        <v>43221</v>
      </c>
      <c r="G4" s="38">
        <f>IFERROR(IF($S4=0,"",IF($S4=2,DATE(YEAR(D4),MONTH(D4)+6,DAY(D4)),IF($S4=1,D4,""))),"")</f>
        <v>43282</v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680.1465479487517</v>
      </c>
      <c r="M4" s="25">
        <f>L4*H4</f>
        <v>2040.439643846255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38564.30926869423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4693.011180846386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6609.764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263729.5836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101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43033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43009</v>
      </c>
      <c r="F33" t="s">
        <v>161</v>
      </c>
      <c r="G33" s="128">
        <f>IF(Inputs!B79="","",DATE(YEAR(Inputs!B79),MONTH(Inputs!B79),DAY(Inputs!B79)))</f>
        <v>42998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43064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43040</v>
      </c>
      <c r="F34" t="s">
        <v>162</v>
      </c>
      <c r="G34" s="128">
        <f>IF(Inputs!B80="","",DATE(YEAR(Inputs!B80),MONTH(Inputs!B80),DAY(Inputs!B80)))</f>
        <v>43033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43094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43070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43125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43101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43156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43132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43184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43160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43215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43191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43245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43221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43276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43252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43306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43282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43337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43368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101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202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101</v>
      </c>
      <c r="B41" s="191" t="s">
        <v>92</v>
      </c>
      <c r="C41" s="191" t="s">
        <v>99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313</v>
      </c>
      <c r="H52" s="12" t="s">
        <v>132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99</v>
      </c>
      <c r="B77" s="176">
        <v>0</v>
      </c>
      <c r="C77" s="12" t="s">
        <v>348</v>
      </c>
      <c r="E77" s="12" t="s">
        <v>92</v>
      </c>
      <c r="F77" s="12" t="s">
        <v>92</v>
      </c>
      <c r="G77" s="12" t="s">
        <v>349</v>
      </c>
      <c r="H77" s="12" t="s">
        <v>132</v>
      </c>
      <c r="I77" s="12" t="s">
        <v>350</v>
      </c>
      <c r="J77" s="136" t="s">
        <v>351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352</v>
      </c>
      <c r="D78" s="133"/>
      <c r="E78" s="12" t="s">
        <v>353</v>
      </c>
      <c r="F78" s="12" t="s">
        <v>354</v>
      </c>
      <c r="G78" s="12" t="s">
        <v>114</v>
      </c>
      <c r="H78" s="12" t="s">
        <v>314</v>
      </c>
      <c r="I78" s="12" t="s">
        <v>355</v>
      </c>
      <c r="J78" s="70" t="s">
        <v>96</v>
      </c>
      <c r="K78" s="12" t="s">
        <v>92</v>
      </c>
      <c r="AJ78" s="12"/>
    </row>
    <row r="79" spans="1:36">
      <c r="B79" s="176">
        <v>10</v>
      </c>
      <c r="C79" s="12" t="s">
        <v>356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167</v>
      </c>
      <c r="J79" s="70" t="s">
        <v>360</v>
      </c>
      <c r="K79" s="12" t="s">
        <v>92</v>
      </c>
      <c r="AJ79" s="12"/>
    </row>
    <row r="80" spans="1:36">
      <c r="B80" s="176">
        <v>20</v>
      </c>
      <c r="C80" s="12" t="s">
        <v>94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99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361</v>
      </c>
      <c r="K81" s="12" t="s">
        <v>99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155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