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<sst xmlns="http://schemas.openxmlformats.org/spreadsheetml/2006/main" uniqueCount="373">
  <si>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</si>
  <si>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</si>
  <si>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</si>
  <si>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</si>
  <si>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</si>
  <si>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</si>
  <si>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</si>
  <si>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</si>
  <si>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</si>
  <si>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</si>
  <si>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</si>
  <si>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</si>
  <si>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</si>
  <si>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</si>
  <si>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</si>
  <si>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</si>
  <si>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</si>
  <si>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</si>
  <si>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</si>
  <si>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</si>
  <si>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</si>
  <si>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</si>
  <si>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</si>
  <si>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</si>
  <si>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</si>
  <si>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</si>
  <si>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</si>
  <si>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</si>
  <si>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</si>
  <si>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</si>
  <si>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</si>
  <si>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</si>
  <si>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</si>
  <si>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</si>
  <si>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</si>
  <si>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</si>
  <si>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</si>
  <si>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</si>
  <si>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</si>
  <si>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</si>
  <si>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</si>
  <si>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</si>
  <si>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</si>
  <si>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</si>
  <si>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</si>
  <si>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</si>
  <si>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</si>
  <si>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</si>
  <si>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</si>
  <si>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</si>
  <si>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</si>
  <si>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</si>
  <si>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</si>
  <si>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</si>
  <si>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</si>
  <si>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</si>
  <si>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</si>
  <si>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</si>
  <si>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</si>
  <si>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</si>
  <si>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</si>
  <si>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</si>
  <si>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</si>
  <si>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</si>
  <si>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</si>
  <si>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</si>
  <si>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</si>
  <si>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</si>
  <si>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</si>
  <si>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</si>
  <si>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</si>
  <si>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</si>
  <si>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</si>
  <si>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</si>
  <si>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</si>
  <si>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</si>
  <si>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</si>
  <si>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</si>
  <si>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</si>
  <si>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</si>
  <si>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</si>
  <si>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</si>
  <si>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</si>
  <si>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</si>
  <si>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</si>
  <si>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</si>
  <si>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</si>
  <si>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</si>
  <si>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</si>
  <si>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</si>
  <si>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</si>
  <si>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</si>
  <si>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</si>
  <si>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</si>
  <si>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</si>
  <si>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</si>
  <si>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</si>
  <si>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</si>
  <si>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</si>
  <si>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</si>
  <si>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</si>
  <si>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</si>
  <si>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</si>
  <si>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</si>
  <si>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</si>
  <si>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</si>
  <si>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</si>
  <si>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</si>
  <si>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</si>
  <si>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</si>
  <si>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</si>
  <si>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</si>
  <si>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Employment+Rental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</si>
  <si>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</si>
  <si>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</si>
  <si>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</si>
  <si>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</si>
  <si>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</si>
  <si>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</si>
  <si>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</si>
  <si>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</si>
  <si>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</si>
  <si>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</si>
  <si>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</si>
  <si>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</si>
  <si>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</si>
  <si>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</si>
  <si>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</si>
  <si>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</si>
  <si>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</si>
  <si>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</si>
  <si>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</si>
  <si>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</si>
  <si>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</si>
  <si>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</si>
  <si>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</si>
  <si>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</si>
  <si>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</si>
  <si>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</si>
  <si>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</si>
  <si>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</si>
  <si>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3/6/2017</t>
  </si>
  <si>
    <t>First community bank</t>
  </si>
  <si>
    <t>Paying well</t>
  </si>
  <si>
    <t>4/30/2017</t>
  </si>
  <si>
    <t>Mshwari</t>
  </si>
  <si>
    <t>No arrears</t>
  </si>
  <si>
    <t>7/31/2017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</si>
  <si>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</si>
  <si>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</si>
  <si>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</si>
  <si>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</si>
  <si>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</si>
  <si>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</si>
  <si>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</si>
  <si>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</si>
  <si>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</si>
  <si>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</si>
  <si>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</si>
  <si>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</si>
  <si>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2017/9/25</t>
  </si>
  <si>
    <t>Loan terms</t>
  </si>
  <si>
    <t>Expected disbursement date</t>
  </si>
  <si>
    <t>Expected first repayment date</t>
  </si>
  <si>
    <t>2017/10/25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</si>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</sst>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Employment+Rental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0.1763761934177641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0.9405764705882353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445449.1913679938</v>
      </c>
    </row>
    <row r="18" spans="1:7">
      <c r="B18" s="1" t="s">
        <v>12</v>
      </c>
      <c r="C18" s="36">
        <f>MIN(Output!B6:M6)</f>
        <v>-378837.0915282413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715278.6673602914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75833.33333333333</v>
      </c>
    </row>
    <row r="25" spans="1:7">
      <c r="B25" s="1" t="s">
        <v>18</v>
      </c>
      <c r="C25" s="36">
        <f>MAX(Inputs!A56:A60)</f>
        <v>220000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684481.1235006421</v>
      </c>
      <c r="C6" s="51">
        <f>C30-C88</f>
        <v>-9237.091528241348</v>
      </c>
      <c r="D6" s="51">
        <f>D30-D88</f>
        <v>-378837.0915282413</v>
      </c>
      <c r="E6" s="51">
        <f>E30-E88</f>
        <v>-42837.09152824135</v>
      </c>
      <c r="F6" s="51">
        <f>F30-F88</f>
        <v>-88562.03889666242</v>
      </c>
      <c r="G6" s="51">
        <f>G30-G88</f>
        <v>-12039.54766859223</v>
      </c>
      <c r="H6" s="51">
        <f>H30-H88</f>
        <v>715278.6673602914</v>
      </c>
      <c r="I6" s="51">
        <f>I30-I88</f>
        <v>21560.45233140777</v>
      </c>
      <c r="J6" s="51">
        <f>J30-J88</f>
        <v>-348039.5476685922</v>
      </c>
      <c r="K6" s="51">
        <f>K30-K88</f>
        <v>-12039.54766859223</v>
      </c>
      <c r="L6" s="51">
        <f>L30-L88</f>
        <v>-72239.54766859225</v>
      </c>
      <c r="M6" s="51">
        <f>M30-M88</f>
        <v>-12039.54766859223</v>
      </c>
      <c r="N6" s="51">
        <f>N30-N88</f>
        <v>715278.6673602914</v>
      </c>
      <c r="O6" s="51">
        <f>O30-O88</f>
        <v>21560.45233140777</v>
      </c>
      <c r="P6" s="51">
        <f>P30-P88</f>
        <v>-348039.5476685922</v>
      </c>
      <c r="Q6" s="51">
        <f>Q30-Q88</f>
        <v>-12039.54766859223</v>
      </c>
      <c r="R6" s="51">
        <f>R30-R88</f>
        <v>-73289.54766859225</v>
      </c>
      <c r="S6" s="51">
        <f>S30-S88</f>
        <v>-12039.54766859223</v>
      </c>
      <c r="T6" s="51">
        <f>T30-T88</f>
        <v>715278.6673602914</v>
      </c>
      <c r="U6" s="51">
        <f>U30-U88</f>
        <v>21560.45233140777</v>
      </c>
      <c r="V6" s="51">
        <f>V30-V88</f>
        <v>-348039.5476685922</v>
      </c>
      <c r="W6" s="51">
        <f>W30-W88</f>
        <v>-12039.54766859223</v>
      </c>
      <c r="X6" s="51">
        <f>X30-X88</f>
        <v>-72239.54766859225</v>
      </c>
      <c r="Y6" s="51">
        <f>Y30-Y88</f>
        <v>-12039.54766859223</v>
      </c>
      <c r="Z6" s="51">
        <f>SUMIF($B$13:$Y$13,"Yes",B6:Y6)</f>
        <v>1160727.858728285</v>
      </c>
      <c r="AA6" s="51">
        <f>AA30-AA88</f>
        <v>445449.1913679931</v>
      </c>
      <c r="AB6" s="51">
        <f>AB30-AB88</f>
        <v>1029361.049402655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40287</v>
      </c>
      <c r="I7" s="80">
        <f>IF(ISERROR(VLOOKUP(MONTH(I5),Inputs!$D$66:$D$71,1,0)),"",INDEX(Inputs!$B$66:$B$71,MATCH(MONTH(Output!I5),Inputs!$D$66:$D$71,0))-INDEX(Inputs!$C$66:$C$71,MATCH(MONTH(Output!I5),Inputs!$D$66:$D$71,0)))</f>
        <v>45720</v>
      </c>
      <c r="J7" s="80">
        <f>IF(ISERROR(VLOOKUP(MONTH(J5),Inputs!$D$66:$D$71,1,0)),"",INDEX(Inputs!$B$66:$B$71,MATCH(MONTH(Output!J5),Inputs!$D$66:$D$71,0))-INDEX(Inputs!$C$66:$C$71,MATCH(MONTH(Output!J5),Inputs!$D$66:$D$71,0)))</f>
        <v>22470</v>
      </c>
      <c r="K7" s="80">
        <f>IF(ISERROR(VLOOKUP(MONTH(K5),Inputs!$D$66:$D$71,1,0)),"",INDEX(Inputs!$B$66:$B$71,MATCH(MONTH(Output!K5),Inputs!$D$66:$D$71,0))-INDEX(Inputs!$C$66:$C$71,MATCH(MONTH(Output!K5),Inputs!$D$66:$D$71,0)))</f>
        <v>35493</v>
      </c>
      <c r="L7" s="80">
        <f>IF(ISERROR(VLOOKUP(MONTH(L5),Inputs!$D$66:$D$71,1,0)),"",INDEX(Inputs!$B$66:$B$71,MATCH(MONTH(Output!L5),Inputs!$D$66:$D$71,0))-INDEX(Inputs!$C$66:$C$71,MATCH(MONTH(Output!L5),Inputs!$D$66:$D$71,0)))</f>
        <v>44250</v>
      </c>
      <c r="M7" s="80">
        <f>IF(ISERROR(VLOOKUP(MONTH(M5),Inputs!$D$66:$D$71,1,0)),"",INDEX(Inputs!$B$66:$B$71,MATCH(MONTH(Output!M5),Inputs!$D$66:$D$71,0))-INDEX(Inputs!$C$66:$C$71,MATCH(MONTH(Output!M5),Inputs!$D$66:$D$71,0)))</f>
        <v>69503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40287</v>
      </c>
      <c r="U7" s="80">
        <f>IF(ISERROR(VLOOKUP(MONTH(U5),Inputs!$D$66:$D$71,1,0)),"",INDEX(Inputs!$B$66:$B$71,MATCH(MONTH(Output!U5),Inputs!$D$66:$D$71,0))-INDEX(Inputs!$C$66:$C$71,MATCH(MONTH(Output!U5),Inputs!$D$66:$D$71,0)))</f>
        <v>45720</v>
      </c>
      <c r="V7" s="80">
        <f>IF(ISERROR(VLOOKUP(MONTH(V5),Inputs!$D$66:$D$71,1,0)),"",INDEX(Inputs!$B$66:$B$71,MATCH(MONTH(Output!V5),Inputs!$D$66:$D$71,0))-INDEX(Inputs!$C$66:$C$71,MATCH(MONTH(Output!V5),Inputs!$D$66:$D$71,0)))</f>
        <v>22470</v>
      </c>
      <c r="W7" s="80">
        <f>IF(ISERROR(VLOOKUP(MONTH(W5),Inputs!$D$66:$D$71,1,0)),"",INDEX(Inputs!$B$66:$B$71,MATCH(MONTH(Output!W5),Inputs!$D$66:$D$71,0))-INDEX(Inputs!$C$66:$C$71,MATCH(MONTH(Output!W5),Inputs!$D$66:$D$71,0)))</f>
        <v>35493</v>
      </c>
      <c r="X7" s="80">
        <f>IF(ISERROR(VLOOKUP(MONTH(X5),Inputs!$D$66:$D$71,1,0)),"",INDEX(Inputs!$B$66:$B$71,MATCH(MONTH(Output!X5),Inputs!$D$66:$D$71,0))-INDEX(Inputs!$C$66:$C$71,MATCH(MONTH(Output!X5),Inputs!$D$66:$D$71,0)))</f>
        <v>44250</v>
      </c>
      <c r="Y7" s="80">
        <f>IF(ISERROR(VLOOKUP(MONTH(Y5),Inputs!$D$66:$D$71,1,0)),"",INDEX(Inputs!$B$66:$B$71,MATCH(MONTH(Output!Y5),Inputs!$D$66:$D$71,0))-INDEX(Inputs!$C$66:$C$71,MATCH(MONTH(Output!Y5),Inputs!$D$66:$D$71,0)))</f>
        <v>69503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884481.1235006421</v>
      </c>
      <c r="C11" s="80">
        <f>C6+C9-C10</f>
        <v>-29237.09152824135</v>
      </c>
      <c r="D11" s="80">
        <f>D6+D9-D10</f>
        <v>-398837.0915282413</v>
      </c>
      <c r="E11" s="80">
        <f>E6+E9-E10</f>
        <v>-62837.09152824135</v>
      </c>
      <c r="F11" s="80">
        <f>F6+F9-F10</f>
        <v>-108562.0388966624</v>
      </c>
      <c r="G11" s="80">
        <f>G6+G9-G10</f>
        <v>-32039.54766859223</v>
      </c>
      <c r="H11" s="80">
        <f>H6+H9-H10</f>
        <v>695278.6673602914</v>
      </c>
      <c r="I11" s="80">
        <f>I6+I9-I10</f>
        <v>1560.452331407767</v>
      </c>
      <c r="J11" s="80">
        <f>J6+J9-J10</f>
        <v>-368039.5476685922</v>
      </c>
      <c r="K11" s="80">
        <f>K6+K9-K10</f>
        <v>-32039.54766859223</v>
      </c>
      <c r="L11" s="80">
        <f>L6+L9-L10</f>
        <v>-92239.54766859225</v>
      </c>
      <c r="M11" s="80">
        <f>M6+M9-M10</f>
        <v>-32039.54766859223</v>
      </c>
      <c r="N11" s="80">
        <f>N6+N9-N10</f>
        <v>695278.6673602914</v>
      </c>
      <c r="O11" s="80">
        <f>O6+O9-O10</f>
        <v>21560.45233140777</v>
      </c>
      <c r="P11" s="80">
        <f>P6+P9-P10</f>
        <v>-348039.5476685922</v>
      </c>
      <c r="Q11" s="80">
        <f>Q6+Q9-Q10</f>
        <v>-12039.54766859223</v>
      </c>
      <c r="R11" s="80">
        <f>R6+R9-R10</f>
        <v>-73289.54766859225</v>
      </c>
      <c r="S11" s="80">
        <f>S6+S9-S10</f>
        <v>-12039.54766859223</v>
      </c>
      <c r="T11" s="80">
        <f>T6+T9-T10</f>
        <v>715278.6673602914</v>
      </c>
      <c r="U11" s="80">
        <f>U6+U9-U10</f>
        <v>21560.45233140777</v>
      </c>
      <c r="V11" s="80">
        <f>V6+V9-V10</f>
        <v>-348039.5476685922</v>
      </c>
      <c r="W11" s="80">
        <f>W6+W9-W10</f>
        <v>-12039.54766859223</v>
      </c>
      <c r="X11" s="80">
        <f>X6+X9-X10</f>
        <v>-72239.54766859225</v>
      </c>
      <c r="Y11" s="80">
        <f>Y6+Y9-Y10</f>
        <v>-12039.54766859223</v>
      </c>
      <c r="Z11" s="85">
        <f>SUMIF($B$13:$Y$13,"Yes",B11:Y11)</f>
        <v>1120727.858728285</v>
      </c>
      <c r="AA11" s="80">
        <f>SUM(B11:M11)</f>
        <v>425449.1913679938</v>
      </c>
      <c r="AB11" s="46">
        <f>SUM(B11:Y11)</f>
        <v>989361.0494026541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0.02285076992176584</v>
      </c>
      <c r="D12" s="82">
        <f>IF(D13="Yes",IF(SUM($B$10:D10)/(SUM($B$6:D6)+SUM($B$9:D9))&lt;0,999.99,SUM($B$10:D10)/(SUM($B$6:D6)+SUM($B$9:D9))),"")</f>
        <v>0.08057905065591961</v>
      </c>
      <c r="E12" s="82">
        <f>IF(E13="Yes",IF(SUM($B$10:E10)/(SUM($B$6:E6)+SUM($B$9:E9))&lt;0,999.99,SUM($B$10:E10)/(SUM($B$6:E6)+SUM($B$9:E9))),"")</f>
        <v>0.1322839252728253</v>
      </c>
      <c r="F12" s="82">
        <f>IF(F13="Yes",IF(SUM($B$10:F10)/(SUM($B$6:F6)+SUM($B$9:F9))&lt;0,999.99,SUM($B$10:F10)/(SUM($B$6:F6)+SUM($B$9:F9))),"")</f>
        <v>0.2191733924700944</v>
      </c>
      <c r="G12" s="82">
        <f>IF(G13="Yes",IF(SUM($B$10:G10)/(SUM($B$6:G6)+SUM($B$9:G9))&lt;0,999.99,SUM($B$10:G10)/(SUM($B$6:G6)+SUM($B$9:G9))),"")</f>
        <v>0.2833115910592918</v>
      </c>
      <c r="H12" s="82">
        <f>IF(H13="Yes",IF(SUM($B$10:H10)/(SUM($B$6:H6)+SUM($B$9:H9))&lt;0,999.99,SUM($B$10:H10)/(SUM($B$6:H6)+SUM($B$9:H9))),"")</f>
        <v>0.1123335781854009</v>
      </c>
      <c r="I12" s="82">
        <f>IF(I13="Yes",IF(SUM($B$10:I10)/(SUM($B$6:I6)+SUM($B$9:I9))&lt;0,999.99,SUM($B$10:I10)/(SUM($B$6:I6)+SUM($B$9:I9))),"")</f>
        <v>0.1284630681594685</v>
      </c>
      <c r="J12" s="82">
        <f>IF(J13="Yes",IF(SUM($B$10:J10)/(SUM($B$6:J6)+SUM($B$9:J9))&lt;0,999.99,SUM($B$10:J10)/(SUM($B$6:J6)+SUM($B$9:J9))),"")</f>
        <v>0.2157009142019191</v>
      </c>
      <c r="K12" s="82">
        <f>IF(K13="Yes",IF(SUM($B$10:K10)/(SUM($B$6:K6)+SUM($B$9:K9))&lt;0,999.99,SUM($B$10:K10)/(SUM($B$6:K6)+SUM($B$9:K9))),"")</f>
        <v>0.2466671544455598</v>
      </c>
      <c r="L12" s="82">
        <f>IF(L13="Yes",IF(SUM($B$10:L10)/(SUM($B$6:L6)+SUM($B$9:L9))&lt;0,999.99,SUM($B$10:L10)/(SUM($B$6:L6)+SUM($B$9:L9))),"")</f>
        <v>0.3041877193106891</v>
      </c>
      <c r="M12" s="82">
        <f>IF(M13="Yes",IF(SUM($B$10:M10)/(SUM($B$6:M6)+SUM($B$9:M9))&lt;0,999.99,SUM($B$10:M10)/(SUM($B$6:M6)+SUM($B$9:M9))),"")</f>
        <v>0.3408478977775496</v>
      </c>
      <c r="N12" s="82">
        <f>IF(N13="Yes",IF(SUM($B$10:N10)/(SUM($B$6:N6)+SUM($B$9:N9))&lt;0,999.99,SUM($B$10:N10)/(SUM($B$6:N6)+SUM($B$9:N9))),"")</f>
        <v>0.1763761934177641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727318.2150288835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727318.2150288835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727318.2150288835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727318.2150288835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2181954.645086651</v>
      </c>
      <c r="AA18" s="36">
        <f>SUM(B18:M18)</f>
        <v>1454636.430057767</v>
      </c>
      <c r="AB18" s="36">
        <f>SUM(B18:Y18)</f>
        <v>2909272.860115534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74000</v>
      </c>
      <c r="C29" s="37">
        <f>Inputs!$B$30</f>
        <v>74000</v>
      </c>
      <c r="D29" s="37">
        <f>Inputs!$B$30</f>
        <v>74000</v>
      </c>
      <c r="E29" s="37">
        <f>Inputs!$B$30</f>
        <v>74000</v>
      </c>
      <c r="F29" s="37">
        <f>Inputs!$B$30</f>
        <v>74000</v>
      </c>
      <c r="G29" s="37">
        <f>Inputs!$B$30</f>
        <v>74000</v>
      </c>
      <c r="H29" s="37">
        <f>Inputs!$B$30</f>
        <v>74000</v>
      </c>
      <c r="I29" s="37">
        <f>Inputs!$B$30</f>
        <v>74000</v>
      </c>
      <c r="J29" s="37">
        <f>Inputs!$B$30</f>
        <v>74000</v>
      </c>
      <c r="K29" s="37">
        <f>Inputs!$B$30</f>
        <v>74000</v>
      </c>
      <c r="L29" s="37">
        <f>Inputs!$B$30</f>
        <v>74000</v>
      </c>
      <c r="M29" s="37">
        <f>Inputs!$B$30</f>
        <v>74000</v>
      </c>
      <c r="N29" s="37">
        <f>Inputs!$B$30</f>
        <v>74000</v>
      </c>
      <c r="O29" s="37">
        <f>Inputs!$B$30</f>
        <v>74000</v>
      </c>
      <c r="P29" s="37">
        <f>Inputs!$B$30</f>
        <v>74000</v>
      </c>
      <c r="Q29" s="37">
        <f>Inputs!$B$30</f>
        <v>74000</v>
      </c>
      <c r="R29" s="37">
        <f>Inputs!$B$30</f>
        <v>74000</v>
      </c>
      <c r="S29" s="37">
        <f>Inputs!$B$30</f>
        <v>74000</v>
      </c>
      <c r="T29" s="37">
        <f>Inputs!$B$30</f>
        <v>74000</v>
      </c>
      <c r="U29" s="37">
        <f>Inputs!$B$30</f>
        <v>74000</v>
      </c>
      <c r="V29" s="37">
        <f>Inputs!$B$30</f>
        <v>74000</v>
      </c>
      <c r="W29" s="37">
        <f>Inputs!$B$30</f>
        <v>74000</v>
      </c>
      <c r="X29" s="37">
        <f>Inputs!$B$30</f>
        <v>74000</v>
      </c>
      <c r="Y29" s="37">
        <f>Inputs!$B$30</f>
        <v>74000</v>
      </c>
      <c r="Z29" s="37">
        <f>SUMIF($B$13:$Y$13,"Yes",B29:Y29)</f>
        <v>962000</v>
      </c>
      <c r="AA29" s="37">
        <f>SUM(B29:M29)</f>
        <v>888000</v>
      </c>
      <c r="AB29" s="37">
        <f>SUM(B29:Y29)</f>
        <v>1776000</v>
      </c>
    </row>
    <row r="30" spans="1:30" customHeight="1" ht="15.75">
      <c r="A30" s="1" t="s">
        <v>37</v>
      </c>
      <c r="B30" s="19">
        <f>SUM(B18:B29)</f>
        <v>801318.2150288835</v>
      </c>
      <c r="C30" s="19">
        <f>SUM(C18:C29)</f>
        <v>74000</v>
      </c>
      <c r="D30" s="19">
        <f>SUM(D18:D29)</f>
        <v>74000</v>
      </c>
      <c r="E30" s="19">
        <f>SUM(E18:E29)</f>
        <v>74000</v>
      </c>
      <c r="F30" s="19">
        <f>SUM(F18:F29)</f>
        <v>74000</v>
      </c>
      <c r="G30" s="19">
        <f>SUM(G18:G29)</f>
        <v>74000</v>
      </c>
      <c r="H30" s="19">
        <f>SUM(H18:H29)</f>
        <v>801318.2150288835</v>
      </c>
      <c r="I30" s="19">
        <f>SUM(I18:I29)</f>
        <v>74000</v>
      </c>
      <c r="J30" s="19">
        <f>SUM(J18:J29)</f>
        <v>74000</v>
      </c>
      <c r="K30" s="19">
        <f>SUM(K18:K29)</f>
        <v>74000</v>
      </c>
      <c r="L30" s="19">
        <f>SUM(L18:L29)</f>
        <v>74000</v>
      </c>
      <c r="M30" s="19">
        <f>SUM(M18:M29)</f>
        <v>74000</v>
      </c>
      <c r="N30" s="19">
        <f>SUM(N18:N29)</f>
        <v>801318.2150288835</v>
      </c>
      <c r="O30" s="19">
        <f>SUM(O18:O29)</f>
        <v>74000</v>
      </c>
      <c r="P30" s="19">
        <f>SUM(P18:P29)</f>
        <v>74000</v>
      </c>
      <c r="Q30" s="19">
        <f>SUM(Q18:Q29)</f>
        <v>74000</v>
      </c>
      <c r="R30" s="19">
        <f>SUM(R18:R29)</f>
        <v>74000</v>
      </c>
      <c r="S30" s="19">
        <f>SUM(S18:S29)</f>
        <v>74000</v>
      </c>
      <c r="T30" s="19">
        <f>SUM(T18:T29)</f>
        <v>801318.2150288835</v>
      </c>
      <c r="U30" s="19">
        <f>SUM(U18:U29)</f>
        <v>74000</v>
      </c>
      <c r="V30" s="19">
        <f>SUM(V18:V29)</f>
        <v>74000</v>
      </c>
      <c r="W30" s="19">
        <f>SUM(W18:W29)</f>
        <v>74000</v>
      </c>
      <c r="X30" s="19">
        <f>SUM(X18:X29)</f>
        <v>74000</v>
      </c>
      <c r="Y30" s="19">
        <f>SUM(Y18:Y29)</f>
        <v>74000</v>
      </c>
      <c r="Z30" s="19">
        <f>SUMIF($B$13:$Y$13,"Yes",B30:Y30)</f>
        <v>3143954.64508665</v>
      </c>
      <c r="AA30" s="19">
        <f>SUM(B30:M30)</f>
        <v>2342636.430057767</v>
      </c>
      <c r="AB30" s="19">
        <f>SUM(B30:Y30)</f>
        <v>4685272.860115534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336000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336000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336000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336000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672000</v>
      </c>
      <c r="AA42" s="36">
        <f>SUM(B42:M42)</f>
        <v>672000</v>
      </c>
      <c r="AB42" s="36">
        <f>SUM(B42:Y42)</f>
        <v>1344000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336000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336000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336000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336000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672000</v>
      </c>
      <c r="AA43" s="36">
        <f>SUM(B43:M43)</f>
        <v>672000</v>
      </c>
      <c r="AB43" s="36">
        <f>SUM(B43:Y43)</f>
        <v>1344000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60200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60200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60200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60200</v>
      </c>
      <c r="Y48" s="46">
        <f>SUM(Y49:Y53)</f>
        <v>0</v>
      </c>
      <c r="Z48" s="46">
        <f>SUMIF($B$13:$Y$13,"Yes",B48:Y48)</f>
        <v>120400</v>
      </c>
      <c r="AA48" s="46">
        <f>SUM(B48:M48)</f>
        <v>120400</v>
      </c>
      <c r="AB48" s="46">
        <f>SUM(B48:Y48)</f>
        <v>240800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60200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60200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60200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60200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120400</v>
      </c>
      <c r="AA49" s="46">
        <f>SUM(B49:M49)</f>
        <v>120400</v>
      </c>
      <c r="AB49" s="46">
        <f>SUM(B49:Y49)</f>
        <v>240800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33600</v>
      </c>
      <c r="C66" s="36">
        <f>O66</f>
        <v>0</v>
      </c>
      <c r="D66" s="36">
        <f>P66</f>
        <v>33600</v>
      </c>
      <c r="E66" s="36">
        <f>Q66</f>
        <v>33600</v>
      </c>
      <c r="F66" s="36">
        <f>R66</f>
        <v>33600</v>
      </c>
      <c r="G66" s="36">
        <f>S66</f>
        <v>33600</v>
      </c>
      <c r="H66" s="36">
        <f>T66</f>
        <v>33600</v>
      </c>
      <c r="I66" s="36">
        <f>U66</f>
        <v>0</v>
      </c>
      <c r="J66" s="36">
        <f>V66</f>
        <v>33600</v>
      </c>
      <c r="K66" s="36">
        <f>W66</f>
        <v>33600</v>
      </c>
      <c r="L66" s="36">
        <f>X66</f>
        <v>33600</v>
      </c>
      <c r="M66" s="36">
        <f>Y66</f>
        <v>33600</v>
      </c>
      <c r="N66" s="46">
        <f>SUM(N67:N71)</f>
        <v>33600</v>
      </c>
      <c r="O66" s="46">
        <f>SUM(O67:O71)</f>
        <v>0</v>
      </c>
      <c r="P66" s="46">
        <f>SUM(P67:P71)</f>
        <v>33600</v>
      </c>
      <c r="Q66" s="46">
        <f>SUM(Q67:Q71)</f>
        <v>33600</v>
      </c>
      <c r="R66" s="46">
        <f>SUM(R67:R71)</f>
        <v>33600</v>
      </c>
      <c r="S66" s="46">
        <f>SUM(S67:S71)</f>
        <v>33600</v>
      </c>
      <c r="T66" s="46">
        <f>SUM(T67:T71)</f>
        <v>33600</v>
      </c>
      <c r="U66" s="46">
        <f>SUM(U67:U71)</f>
        <v>0</v>
      </c>
      <c r="V66" s="46">
        <f>SUM(V67:V71)</f>
        <v>33600</v>
      </c>
      <c r="W66" s="46">
        <f>SUM(W67:W71)</f>
        <v>33600</v>
      </c>
      <c r="X66" s="46">
        <f>SUM(X67:X71)</f>
        <v>33600</v>
      </c>
      <c r="Y66" s="46">
        <f>SUM(Y67:Y71)</f>
        <v>33600</v>
      </c>
      <c r="Z66" s="46">
        <f>SUMIF($B$13:$Y$13,"Yes",B66:Y66)</f>
        <v>369600</v>
      </c>
      <c r="AA66" s="46">
        <f>SUM(B66:M66)</f>
        <v>336000</v>
      </c>
      <c r="AB66" s="46">
        <f>SUM(B66:Y66)</f>
        <v>672000</v>
      </c>
    </row>
    <row r="67" spans="1:30" hidden="true" outlineLevel="1">
      <c r="A67" s="181" t="str">
        <f>Calculations!$A$4</f>
        <v>Potatoes</v>
      </c>
      <c r="B67" s="36">
        <f>N67</f>
        <v>33600</v>
      </c>
      <c r="C67" s="36">
        <f>O67</f>
        <v>0</v>
      </c>
      <c r="D67" s="36">
        <f>P67</f>
        <v>33600</v>
      </c>
      <c r="E67" s="36">
        <f>Q67</f>
        <v>33600</v>
      </c>
      <c r="F67" s="36">
        <f>R67</f>
        <v>33600</v>
      </c>
      <c r="G67" s="36">
        <f>S67</f>
        <v>33600</v>
      </c>
      <c r="H67" s="36">
        <f>T67</f>
        <v>33600</v>
      </c>
      <c r="I67" s="36">
        <f>U67</f>
        <v>0</v>
      </c>
      <c r="J67" s="36">
        <f>V67</f>
        <v>33600</v>
      </c>
      <c r="K67" s="36">
        <f>W67</f>
        <v>33600</v>
      </c>
      <c r="L67" s="36">
        <f>X67</f>
        <v>33600</v>
      </c>
      <c r="M67" s="36">
        <f>Y67</f>
        <v>33600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33600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33600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33600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33600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33600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33600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33600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33600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33600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33600</v>
      </c>
      <c r="Z67" s="46">
        <f>SUMIF($B$13:$Y$13,"Yes",B67:Y67)</f>
        <v>369600</v>
      </c>
      <c r="AA67" s="46">
        <f>SUM(B67:M67)</f>
        <v>336000</v>
      </c>
      <c r="AB67" s="46">
        <f>SUM(B67:Y67)</f>
        <v>672000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1050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1050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1050</v>
      </c>
      <c r="AA72" s="46">
        <f>SUM(B72:M72)</f>
        <v>1050</v>
      </c>
      <c r="AB72" s="46">
        <f>SUM(B72:Y72)</f>
        <v>2100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32439.54766859223</v>
      </c>
      <c r="C81" s="46">
        <f>(SUM($AA$18:$AA$29)-SUM($AA$36,$AA$42,$AA$48,$AA$54,$AA$60,$AA$66,$AA$72:$AA$79))*Parameters!$B$37/12</f>
        <v>32439.54766859223</v>
      </c>
      <c r="D81" s="46">
        <f>(SUM($AA$18:$AA$29)-SUM($AA$36,$AA$42,$AA$48,$AA$54,$AA$60,$AA$66,$AA$72:$AA$79))*Parameters!$B$37/12</f>
        <v>32439.54766859223</v>
      </c>
      <c r="E81" s="46">
        <f>(SUM($AA$18:$AA$29)-SUM($AA$36,$AA$42,$AA$48,$AA$54,$AA$60,$AA$66,$AA$72:$AA$79))*Parameters!$B$37/12</f>
        <v>32439.54766859223</v>
      </c>
      <c r="F81" s="46">
        <f>(SUM($AA$18:$AA$29)-SUM($AA$36,$AA$42,$AA$48,$AA$54,$AA$60,$AA$66,$AA$72:$AA$79))*Parameters!$B$37/12</f>
        <v>32439.54766859223</v>
      </c>
      <c r="G81" s="46">
        <f>(SUM($AA$18:$AA$29)-SUM($AA$36,$AA$42,$AA$48,$AA$54,$AA$60,$AA$66,$AA$72:$AA$79))*Parameters!$B$37/12</f>
        <v>32439.54766859223</v>
      </c>
      <c r="H81" s="46">
        <f>(SUM($AA$18:$AA$29)-SUM($AA$36,$AA$42,$AA$48,$AA$54,$AA$60,$AA$66,$AA$72:$AA$79))*Parameters!$B$37/12</f>
        <v>32439.54766859223</v>
      </c>
      <c r="I81" s="46">
        <f>(SUM($AA$18:$AA$29)-SUM($AA$36,$AA$42,$AA$48,$AA$54,$AA$60,$AA$66,$AA$72:$AA$79))*Parameters!$B$37/12</f>
        <v>32439.54766859223</v>
      </c>
      <c r="J81" s="46">
        <f>(SUM($AA$18:$AA$29)-SUM($AA$36,$AA$42,$AA$48,$AA$54,$AA$60,$AA$66,$AA$72:$AA$79))*Parameters!$B$37/12</f>
        <v>32439.54766859223</v>
      </c>
      <c r="K81" s="46">
        <f>(SUM($AA$18:$AA$29)-SUM($AA$36,$AA$42,$AA$48,$AA$54,$AA$60,$AA$66,$AA$72:$AA$79))*Parameters!$B$37/12</f>
        <v>32439.54766859223</v>
      </c>
      <c r="L81" s="46">
        <f>(SUM($AA$18:$AA$29)-SUM($AA$36,$AA$42,$AA$48,$AA$54,$AA$60,$AA$66,$AA$72:$AA$79))*Parameters!$B$37/12</f>
        <v>32439.54766859223</v>
      </c>
      <c r="M81" s="46">
        <f>(SUM($AA$18:$AA$29)-SUM($AA$36,$AA$42,$AA$48,$AA$54,$AA$60,$AA$66,$AA$72:$AA$79))*Parameters!$B$37/12</f>
        <v>32439.54766859223</v>
      </c>
      <c r="N81" s="46">
        <f>(SUM($AA$18:$AA$29)-SUM($AA$36,$AA$42,$AA$48,$AA$54,$AA$60,$AA$66,$AA$72:$AA$79))*Parameters!$B$37/12</f>
        <v>32439.54766859223</v>
      </c>
      <c r="O81" s="46">
        <f>(SUM($AA$18:$AA$29)-SUM($AA$36,$AA$42,$AA$48,$AA$54,$AA$60,$AA$66,$AA$72:$AA$79))*Parameters!$B$37/12</f>
        <v>32439.54766859223</v>
      </c>
      <c r="P81" s="46">
        <f>(SUM($AA$18:$AA$29)-SUM($AA$36,$AA$42,$AA$48,$AA$54,$AA$60,$AA$66,$AA$72:$AA$79))*Parameters!$B$37/12</f>
        <v>32439.54766859223</v>
      </c>
      <c r="Q81" s="46">
        <f>(SUM($AA$18:$AA$29)-SUM($AA$36,$AA$42,$AA$48,$AA$54,$AA$60,$AA$66,$AA$72:$AA$79))*Parameters!$B$37/12</f>
        <v>32439.54766859223</v>
      </c>
      <c r="R81" s="46">
        <f>(SUM($AA$18:$AA$29)-SUM($AA$36,$AA$42,$AA$48,$AA$54,$AA$60,$AA$66,$AA$72:$AA$79))*Parameters!$B$37/12</f>
        <v>32439.54766859223</v>
      </c>
      <c r="S81" s="46">
        <f>(SUM($AA$18:$AA$29)-SUM($AA$36,$AA$42,$AA$48,$AA$54,$AA$60,$AA$66,$AA$72:$AA$79))*Parameters!$B$37/12</f>
        <v>32439.54766859223</v>
      </c>
      <c r="T81" s="46">
        <f>(SUM($AA$18:$AA$29)-SUM($AA$36,$AA$42,$AA$48,$AA$54,$AA$60,$AA$66,$AA$72:$AA$79))*Parameters!$B$37/12</f>
        <v>32439.54766859223</v>
      </c>
      <c r="U81" s="46">
        <f>(SUM($AA$18:$AA$29)-SUM($AA$36,$AA$42,$AA$48,$AA$54,$AA$60,$AA$66,$AA$72:$AA$79))*Parameters!$B$37/12</f>
        <v>32439.54766859223</v>
      </c>
      <c r="V81" s="46">
        <f>(SUM($AA$18:$AA$29)-SUM($AA$36,$AA$42,$AA$48,$AA$54,$AA$60,$AA$66,$AA$72:$AA$79))*Parameters!$B$37/12</f>
        <v>32439.54766859223</v>
      </c>
      <c r="W81" s="46">
        <f>(SUM($AA$18:$AA$29)-SUM($AA$36,$AA$42,$AA$48,$AA$54,$AA$60,$AA$66,$AA$72:$AA$79))*Parameters!$B$37/12</f>
        <v>32439.54766859223</v>
      </c>
      <c r="X81" s="46">
        <f>(SUM($AA$18:$AA$29)-SUM($AA$36,$AA$42,$AA$48,$AA$54,$AA$60,$AA$66,$AA$72:$AA$79))*Parameters!$B$37/12</f>
        <v>32439.54766859223</v>
      </c>
      <c r="Y81" s="46">
        <f>(SUM($AA$18:$AA$29)-SUM($AA$36,$AA$42,$AA$48,$AA$54,$AA$60,$AA$66,$AA$72:$AA$79))*Parameters!$B$37/12</f>
        <v>32439.54766859223</v>
      </c>
      <c r="Z81" s="46">
        <f>SUMIF($B$13:$Y$13,"Yes",B81:Y81)</f>
        <v>421714.119691699</v>
      </c>
      <c r="AA81" s="46">
        <f>SUM(B81:M81)</f>
        <v>389274.5720231068</v>
      </c>
      <c r="AB81" s="46">
        <f>SUM(B81:Y81)</f>
        <v>778549.1440462134</v>
      </c>
    </row>
    <row r="82" spans="1:30">
      <c r="A82" s="16" t="s">
        <v>52</v>
      </c>
      <c r="B82" s="46">
        <f>SUM(B83:B87)</f>
        <v>30797.54385964912</v>
      </c>
      <c r="C82" s="46">
        <f>SUM(C83:C87)</f>
        <v>30797.54385964912</v>
      </c>
      <c r="D82" s="46">
        <f>SUM(D83:D87)</f>
        <v>30797.54385964912</v>
      </c>
      <c r="E82" s="46">
        <f>SUM(E83:E87)</f>
        <v>30797.54385964912</v>
      </c>
      <c r="F82" s="46">
        <f>SUM(F83:F87)</f>
        <v>15272.49122807017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138462.6666666667</v>
      </c>
      <c r="AA82" s="46">
        <f>SUM(B82:M82)</f>
        <v>138462.6666666667</v>
      </c>
      <c r="AB82" s="46">
        <f>SUM(B82:Y82)</f>
        <v>138462.6666666667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30797.54385964912</v>
      </c>
      <c r="C83" s="46">
        <f>IF(Calculations!$E23&gt;COUNT(Output!$B$35:C$35),Calculations!$B23,IF(Calculations!$E23=COUNT(Output!$B$35:C$35),Inputs!$B56-Calculations!$C23*(Calculations!$E23-1)+Calculations!$D23,0))</f>
        <v>30797.54385964912</v>
      </c>
      <c r="D83" s="46">
        <f>IF(Calculations!$E23&gt;COUNT(Output!$B$35:D$35),Calculations!$B23,IF(Calculations!$E23=COUNT(Output!$B$35:D$35),Inputs!$B56-Calculations!$C23*(Calculations!$E23-1)+Calculations!$D23,0))</f>
        <v>30797.54385964912</v>
      </c>
      <c r="E83" s="46">
        <f>IF(Calculations!$E23&gt;COUNT(Output!$B$35:E$35),Calculations!$B23,IF(Calculations!$E23=COUNT(Output!$B$35:E$35),Inputs!$B56-Calculations!$C23*(Calculations!$E23-1)+Calculations!$D23,0))</f>
        <v>30797.54385964912</v>
      </c>
      <c r="F83" s="46">
        <f>IF(Calculations!$E23&gt;COUNT(Output!$B$35:F$35),Calculations!$B23,IF(Calculations!$E23=COUNT(Output!$B$35:F$35),Inputs!$B56-Calculations!$C23*(Calculations!$E23-1)+Calculations!$D23,0))</f>
        <v>15272.49122807017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138462.6666666667</v>
      </c>
      <c r="AA83" s="46">
        <f>SUM(B83:M83)</f>
        <v>138462.6666666667</v>
      </c>
      <c r="AB83" s="46">
        <f>SUM(B83:Y83)</f>
        <v>138462.6666666667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116837.0915282413</v>
      </c>
      <c r="C88" s="19">
        <f>SUM(C72:C82,C66,C60,C54,C48,C42,C36)</f>
        <v>83237.09152824135</v>
      </c>
      <c r="D88" s="19">
        <f>SUM(D72:D82,D66,D60,D54,D48,D42,D36)</f>
        <v>452837.0915282413</v>
      </c>
      <c r="E88" s="19">
        <f>SUM(E72:E82,E66,E60,E54,E48,E42,E36)</f>
        <v>116837.0915282413</v>
      </c>
      <c r="F88" s="19">
        <f>SUM(F72:F82,F66,F60,F54,F48,F42,F36)</f>
        <v>162562.0388966624</v>
      </c>
      <c r="G88" s="19">
        <f>SUM(G72:G82,G66,G60,G54,G48,G42,G36)</f>
        <v>86039.54766859223</v>
      </c>
      <c r="H88" s="19">
        <f>SUM(H72:H82,H66,H60,H54,H48,H42,H36)</f>
        <v>86039.54766859223</v>
      </c>
      <c r="I88" s="19">
        <f>SUM(I72:I82,I66,I60,I54,I48,I42,I36)</f>
        <v>52439.54766859223</v>
      </c>
      <c r="J88" s="19">
        <f>SUM(J72:J82,J66,J60,J54,J48,J42,J36)</f>
        <v>422039.5476685922</v>
      </c>
      <c r="K88" s="19">
        <f>SUM(K72:K82,K66,K60,K54,K48,K42,K36)</f>
        <v>86039.54766859223</v>
      </c>
      <c r="L88" s="19">
        <f>SUM(L72:L82,L66,L60,L54,L48,L42,L36)</f>
        <v>146239.5476685922</v>
      </c>
      <c r="M88" s="19">
        <f>SUM(M72:M82,M66,M60,M54,M48,M42,M36)</f>
        <v>86039.54766859223</v>
      </c>
      <c r="N88" s="19">
        <f>SUM(N72:N82,N66,N60,N54,N48,N42,N36)</f>
        <v>86039.54766859223</v>
      </c>
      <c r="O88" s="19">
        <f>SUM(O72:O82,O66,O60,O54,O48,O42,O36)</f>
        <v>52439.54766859223</v>
      </c>
      <c r="P88" s="19">
        <f>SUM(P72:P82,P66,P60,P54,P48,P42,P36)</f>
        <v>422039.5476685922</v>
      </c>
      <c r="Q88" s="19">
        <f>SUM(Q72:Q82,Q66,Q60,Q54,Q48,Q42,Q36)</f>
        <v>86039.54766859223</v>
      </c>
      <c r="R88" s="19">
        <f>SUM(R72:R82,R66,R60,R54,R48,R42,R36)</f>
        <v>147289.5476685922</v>
      </c>
      <c r="S88" s="19">
        <f>SUM(S72:S82,S66,S60,S54,S48,S42,S36)</f>
        <v>86039.54766859223</v>
      </c>
      <c r="T88" s="19">
        <f>SUM(T72:T82,T66,T60,T54,T48,T42,T36)</f>
        <v>86039.54766859223</v>
      </c>
      <c r="U88" s="19">
        <f>SUM(U72:U82,U66,U60,U54,U48,U42,U36)</f>
        <v>52439.54766859223</v>
      </c>
      <c r="V88" s="19">
        <f>SUM(V72:V82,V66,V60,V54,V48,V42,V36)</f>
        <v>422039.5476685922</v>
      </c>
      <c r="W88" s="19">
        <f>SUM(W72:W82,W66,W60,W54,W48,W42,W36)</f>
        <v>86039.54766859223</v>
      </c>
      <c r="X88" s="19">
        <f>SUM(X72:X82,X66,X60,X54,X48,X42,X36)</f>
        <v>146239.5476685922</v>
      </c>
      <c r="Y88" s="19">
        <f>SUM(Y72:Y82,Y66,Y60,Y54,Y48,Y42,Y36)</f>
        <v>86039.54766859223</v>
      </c>
      <c r="Z88" s="19">
        <f>SUMIF($B$13:$Y$13,"Yes",B88:Y88)</f>
        <v>1983226.786358366</v>
      </c>
      <c r="AA88" s="19">
        <f>SUM(B88:M88)</f>
        <v>1897187.238689774</v>
      </c>
      <c r="AB88" s="19">
        <f>SUM(B88:Y88)</f>
        <v>3655911.810712879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10000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120000</v>
      </c>
    </row>
    <row r="101" spans="1:30" customHeight="1" ht="15.75">
      <c r="A101" s="1" t="s">
        <v>67</v>
      </c>
      <c r="B101" s="19">
        <f>SUM(B94:B100)</f>
        <v>340000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118296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319796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74000</v>
      </c>
    </row>
    <row r="31" spans="1:48">
      <c r="A31" s="5" t="s">
        <v>114</v>
      </c>
      <c r="B31" s="158">
        <v>20000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93</v>
      </c>
    </row>
    <row r="41" spans="1:48">
      <c r="A41" s="55" t="s">
        <v>122</v>
      </c>
      <c r="B41" s="140">
        <v>1050</v>
      </c>
    </row>
    <row r="42" spans="1:48">
      <c r="A42" s="55" t="s">
        <v>123</v>
      </c>
      <c r="B42" s="139" t="s">
        <v>124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150000</v>
      </c>
    </row>
    <row r="46" spans="1:48" customHeight="1" ht="30">
      <c r="A46" s="57" t="s">
        <v>129</v>
      </c>
      <c r="B46" s="161">
        <v>25000</v>
      </c>
    </row>
    <row r="47" spans="1:48" customHeight="1" ht="30">
      <c r="A47" s="57" t="s">
        <v>130</v>
      </c>
      <c r="B47" s="161">
        <v>10000</v>
      </c>
    </row>
    <row r="48" spans="1:48" customHeight="1" ht="30">
      <c r="A48" s="57" t="s">
        <v>131</v>
      </c>
      <c r="B48" s="161">
        <v>120000</v>
      </c>
    </row>
    <row r="49" spans="1:48" customHeight="1" ht="30">
      <c r="A49" s="57" t="s">
        <v>132</v>
      </c>
      <c r="B49" s="161">
        <v>35000</v>
      </c>
    </row>
    <row r="50" spans="1:48">
      <c r="A50" s="43"/>
      <c r="B50" s="36"/>
    </row>
    <row r="51" spans="1:48">
      <c r="A51" s="58" t="s">
        <v>133</v>
      </c>
      <c r="B51" s="161">
        <v>1500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220000</v>
      </c>
      <c r="B56" s="159">
        <v>118296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>
        <v>3000</v>
      </c>
      <c r="B57" s="157">
        <v>0</v>
      </c>
      <c r="C57" s="164" t="s">
        <v>144</v>
      </c>
      <c r="D57" s="165" t="s">
        <v>145</v>
      </c>
      <c r="E57" s="165" t="s">
        <v>92</v>
      </c>
      <c r="F57" s="165" t="s">
        <v>146</v>
      </c>
    </row>
    <row r="58" spans="1:48">
      <c r="A58" s="157">
        <v>4500</v>
      </c>
      <c r="B58" s="157">
        <v>0</v>
      </c>
      <c r="C58" s="164" t="s">
        <v>147</v>
      </c>
      <c r="D58" s="165" t="s">
        <v>145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149</v>
      </c>
      <c r="C65" s="10" t="s">
        <v>150</v>
      </c>
    </row>
    <row r="66" spans="1:48">
      <c r="A66" s="142" t="s">
        <v>151</v>
      </c>
      <c r="B66" s="159">
        <v>722360</v>
      </c>
      <c r="C66" s="163">
        <v>652857</v>
      </c>
      <c r="D66" s="49">
        <f>INDEX(Parameters!$D$79:$D$90,MATCH(Inputs!A66,Parameters!$C$79:$C$90,0))</f>
        <v>8</v>
      </c>
    </row>
    <row r="67" spans="1:48">
      <c r="A67" s="143" t="s">
        <v>152</v>
      </c>
      <c r="B67" s="157">
        <v>519230</v>
      </c>
      <c r="C67" s="165">
        <v>474980</v>
      </c>
      <c r="D67" s="49">
        <f>INDEX(Parameters!$D$79:$D$90,MATCH(Inputs!A67,Parameters!$C$79:$C$90,0))</f>
        <v>7</v>
      </c>
    </row>
    <row r="68" spans="1:48">
      <c r="A68" s="143" t="s">
        <v>153</v>
      </c>
      <c r="B68" s="157">
        <v>442000</v>
      </c>
      <c r="C68" s="165">
        <v>406507</v>
      </c>
      <c r="D68" s="49">
        <f>INDEX(Parameters!$D$79:$D$90,MATCH(Inputs!A68,Parameters!$C$79:$C$90,0))</f>
        <v>6</v>
      </c>
    </row>
    <row r="69" spans="1:48">
      <c r="A69" s="143" t="s">
        <v>154</v>
      </c>
      <c r="B69" s="157">
        <v>333086</v>
      </c>
      <c r="C69" s="165">
        <v>310616</v>
      </c>
      <c r="D69" s="49">
        <f>INDEX(Parameters!$D$79:$D$90,MATCH(Inputs!A69,Parameters!$C$79:$C$90,0))</f>
        <v>5</v>
      </c>
    </row>
    <row r="70" spans="1:48">
      <c r="A70" s="143" t="s">
        <v>155</v>
      </c>
      <c r="B70" s="157">
        <v>438627</v>
      </c>
      <c r="C70" s="165">
        <v>392907</v>
      </c>
      <c r="D70" s="49">
        <f>INDEX(Parameters!$D$79:$D$90,MATCH(Inputs!A70,Parameters!$C$79:$C$90,0))</f>
        <v>4</v>
      </c>
    </row>
    <row r="71" spans="1:48">
      <c r="A71" s="144" t="s">
        <v>156</v>
      </c>
      <c r="B71" s="158">
        <v>353580</v>
      </c>
      <c r="C71" s="167">
        <v>313293</v>
      </c>
      <c r="D71" s="49">
        <f>INDEX(Parameters!$D$79:$D$90,MATCH(Inputs!A71,Parameters!$C$79:$C$90,0))</f>
        <v>3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14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68356.97509669959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1454636.430057767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336000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220000</v>
      </c>
      <c r="B23" s="75">
        <f>SUM(C23:D23)</f>
        <v>30797.54385964912</v>
      </c>
      <c r="C23" s="75">
        <f>IF(Inputs!B56&gt;0,(Inputs!A56-Inputs!B56)/(DATE(YEAR(Inputs!$B$76),MONTH(Inputs!$B$76),DAY(Inputs!$B$76))-DATE(YEAR(Inputs!C56),MONTH(Inputs!C56),DAY(Inputs!C56)))*30,0)</f>
        <v>26764.21052631579</v>
      </c>
      <c r="D23" s="75">
        <f>IF(Inputs!B56&gt;0,Inputs!A56*0.22/12,0)</f>
        <v>4033.333333333333</v>
      </c>
      <c r="E23" s="75">
        <f>IFERROR(ROUNDUP(Inputs!B56/C23,0),0)</f>
        <v>5</v>
      </c>
    </row>
    <row r="24" spans="1:52">
      <c r="A24" s="46">
        <f>Inputs!A57</f>
        <v>3000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43033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43009</v>
      </c>
      <c r="F33" t="s">
        <v>162</v>
      </c>
      <c r="G33" s="128">
        <f>IF(Inputs!B79="","",DATE(YEAR(Inputs!B79),MONTH(Inputs!B79),DAY(Inputs!B79)))</f>
        <v>43003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43064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43040</v>
      </c>
      <c r="F34" t="s">
        <v>163</v>
      </c>
      <c r="G34" s="128">
        <f>IF(Inputs!B80="","",DATE(YEAR(Inputs!B80),MONTH(Inputs!B80),DAY(Inputs!B80)))</f>
        <v>43033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43094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43070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43125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43101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43156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43132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43184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43160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43215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43191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43245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43221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43276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43252</v>
      </c>
      <c r="F41" t="s">
        <v>229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43306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43282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43337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43368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126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126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318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124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368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