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<sst xmlns="http://schemas.openxmlformats.org/spreadsheetml/2006/main" uniqueCount="369">
  <si>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</si>
  <si>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</si>
  <si>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</si>
  <si>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</si>
  <si>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</si>
  <si>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</si>
  <si>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</si>
  <si>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</si>
  <si>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</si>
  <si>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</si>
  <si>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</si>
  <si>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</si>
  <si>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</si>
  <si>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</si>
  <si>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</si>
  <si>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</si>
  <si>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</si>
  <si>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</si>
  <si>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</si>
  <si>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</si>
  <si>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</si>
  <si>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</si>
  <si>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</si>
  <si>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</si>
  <si>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</si>
  <si>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</si>
  <si>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</si>
  <si>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</si>
  <si>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</si>
  <si>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</si>
  <si>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</si>
  <si>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</si>
  <si>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</si>
  <si>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</si>
  <si>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</si>
  <si>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</si>
  <si>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</si>
  <si>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</si>
  <si>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</si>
  <si>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</si>
  <si>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</si>
  <si>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</si>
  <si>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</si>
  <si>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</si>
  <si>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</si>
  <si>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</si>
  <si>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</si>
  <si>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</si>
  <si>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</si>
  <si>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</si>
  <si>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</si>
  <si>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</si>
  <si>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</si>
  <si>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</si>
  <si>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</si>
  <si>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</si>
  <si>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</si>
  <si>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</si>
  <si>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</si>
  <si>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</si>
  <si>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</si>
  <si>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</si>
  <si>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</si>
  <si>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</si>
  <si>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</si>
  <si>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</si>
  <si>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</si>
  <si>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</si>
  <si>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</si>
  <si>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</si>
  <si>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</si>
  <si>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</si>
  <si>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</si>
  <si>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</si>
  <si>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</si>
  <si>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</si>
  <si>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</si>
  <si>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</si>
  <si>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</si>
  <si>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</si>
  <si>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</si>
  <si>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</si>
  <si>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</si>
  <si>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</si>
  <si>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</si>
  <si>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</si>
  <si>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</si>
  <si>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</si>
  <si>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</si>
  <si>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</si>
  <si>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Shop_common variety</t>
  </si>
  <si>
    <t>Yes Inorganic fertizers</t>
  </si>
  <si>
    <t>Yes</t>
  </si>
  <si>
    <t>No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</si>
  <si>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</si>
  <si>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</si>
  <si>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</si>
  <si>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</si>
  <si>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</si>
  <si>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</si>
  <si>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</si>
  <si>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</si>
  <si>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</si>
  <si>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</si>
  <si>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</si>
  <si>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</si>
  <si>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</si>
  <si>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</si>
  <si>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</si>
  <si>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</si>
  <si>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</si>
  <si>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</si>
  <si>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</si>
  <si>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</si>
  <si>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</si>
  <si>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</si>
  <si>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</si>
  <si>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</si>
  <si>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</si>
  <si>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</si>
  <si>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</si>
  <si>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</si>
  <si>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</si>
  <si>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</si>
  <si>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</si>
  <si>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</si>
  <si>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</si>
  <si>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</si>
  <si>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</si>
  <si>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</si>
  <si>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</si>
  <si>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</si>
  <si>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</si>
  <si>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</si>
  <si>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</si>
  <si>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</si>
  <si>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</si>
  <si>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</si>
  <si>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</si>
  <si>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</si>
  <si>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</si>
  <si>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3/10/2017</t>
  </si>
  <si>
    <t xml:space="preserve">equity eazzy loan </t>
  </si>
  <si>
    <t xml:space="preserve">mobile banking </t>
  </si>
  <si>
    <t>Mpesa &amp; bank cash flows (from past statements)</t>
  </si>
  <si>
    <t>Cash inflows</t>
  </si>
  <si>
    <t>Cash outflows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</si>
  <si>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</si>
  <si>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</si>
  <si>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</si>
  <si>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</si>
  <si>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</si>
  <si>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</si>
  <si>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</si>
  <si>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</si>
  <si>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2017/9/25</t>
  </si>
  <si>
    <t>Loan terms</t>
  </si>
  <si>
    <t>Expected disbursement date</t>
  </si>
  <si>
    <t>2017/9/29</t>
  </si>
  <si>
    <t>Expected first repayment date</t>
  </si>
  <si>
    <t>2017/10/25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</si>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</sst>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October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</v>
      </c>
    </row>
    <row r="8" spans="1:7">
      <c r="B8" s="1" t="s">
        <v>4</v>
      </c>
      <c r="C8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1.256923947616619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2018</v>
      </c>
    </row>
    <row r="13" spans="1:7">
      <c r="B13" s="1" t="s">
        <v>8</v>
      </c>
      <c r="C13" s="67">
        <f>IFERROR(Output!B107/Output!B101,"")</f>
        <v>0.05644732824427481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11000</v>
      </c>
    </row>
    <row r="17" spans="1:7">
      <c r="B17" s="1" t="s">
        <v>11</v>
      </c>
      <c r="C17" s="36">
        <f>SUM(Output!B6:M6)</f>
        <v>128133.480464158</v>
      </c>
    </row>
    <row r="18" spans="1:7">
      <c r="B18" s="1" t="s">
        <v>12</v>
      </c>
      <c r="C18" s="36">
        <f>MIN(Output!B6:M6)</f>
        <v>-133115.1933591199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260312.7070276784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60000</v>
      </c>
    </row>
    <row r="25" spans="1:7">
      <c r="B25" s="1" t="s">
        <v>18</v>
      </c>
      <c r="C25" s="36">
        <f>MAX(Inputs!A56:A60)</f>
        <v>60000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-133115.1933591199</v>
      </c>
      <c r="C6" s="51">
        <f>C30-C88</f>
        <v>-13115.19335911989</v>
      </c>
      <c r="D6" s="51">
        <f>D30-D88</f>
        <v>-34615.19335911989</v>
      </c>
      <c r="E6" s="51">
        <f>E30-E88</f>
        <v>-13115.19335911989</v>
      </c>
      <c r="F6" s="51">
        <f>F30-F88</f>
        <v>260312.7070276784</v>
      </c>
      <c r="G6" s="51">
        <f>G30-G88</f>
        <v>-2285.193359119889</v>
      </c>
      <c r="H6" s="51">
        <f>H30-H88</f>
        <v>-133115.1933591199</v>
      </c>
      <c r="I6" s="51">
        <f>I30-I88</f>
        <v>-13115.19335911989</v>
      </c>
      <c r="J6" s="51">
        <f>J30-J88</f>
        <v>-34615.19335911989</v>
      </c>
      <c r="K6" s="51">
        <f>K30-K88</f>
        <v>-13115.19335911989</v>
      </c>
      <c r="L6" s="51">
        <f>L30-L88</f>
        <v>260312.7070276784</v>
      </c>
      <c r="M6" s="51">
        <f>M30-M88</f>
        <v>-2285.193359119889</v>
      </c>
      <c r="N6" s="51">
        <f>N30-N88</f>
        <v>-133115.1933591199</v>
      </c>
      <c r="O6" s="51">
        <f>O30-O88</f>
        <v>-13115.19335911989</v>
      </c>
      <c r="P6" s="51">
        <f>P30-P88</f>
        <v>-34615.19335911989</v>
      </c>
      <c r="Q6" s="51">
        <f>Q30-Q88</f>
        <v>-13115.19335911989</v>
      </c>
      <c r="R6" s="51">
        <f>R30-R88</f>
        <v>260312.7070276784</v>
      </c>
      <c r="S6" s="51">
        <f>S30-S88</f>
        <v>-2285.193359119889</v>
      </c>
      <c r="T6" s="51">
        <f>T30-T88</f>
        <v>-133115.1933591199</v>
      </c>
      <c r="U6" s="51">
        <f>U30-U88</f>
        <v>-13115.19335911989</v>
      </c>
      <c r="V6" s="51">
        <f>V30-V88</f>
        <v>-34615.19335911989</v>
      </c>
      <c r="W6" s="51">
        <f>W30-W88</f>
        <v>-13115.19335911989</v>
      </c>
      <c r="X6" s="51">
        <f>X30-X88</f>
        <v>260312.7070276784</v>
      </c>
      <c r="Y6" s="51">
        <f>Y30-Y88</f>
        <v>-2285.193359119889</v>
      </c>
      <c r="Z6" s="51">
        <f>SUMIF($B$13:$Y$13,"Yes",B6:Y6)</f>
        <v>-4981.712894961835</v>
      </c>
      <c r="AA6" s="51">
        <f>AA30-AA88</f>
        <v>128133.4804641581</v>
      </c>
      <c r="AB6" s="51">
        <f>AB30-AB88</f>
        <v>256266.9609283156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32630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21419</v>
      </c>
      <c r="J7" s="80">
        <f>IF(ISERROR(VLOOKUP(MONTH(J5),Inputs!$D$66:$D$71,1,0)),"",INDEX(Inputs!$B$66:$B$71,MATCH(MONTH(Output!J5),Inputs!$D$66:$D$71,0))-INDEX(Inputs!$C$66:$C$71,MATCH(MONTH(Output!J5),Inputs!$D$66:$D$71,0)))</f>
        <v>27598</v>
      </c>
      <c r="K7" s="80">
        <f>IF(ISERROR(VLOOKUP(MONTH(K5),Inputs!$D$66:$D$71,1,0)),"",INDEX(Inputs!$B$66:$B$71,MATCH(MONTH(Output!K5),Inputs!$D$66:$D$71,0))-INDEX(Inputs!$C$66:$C$71,MATCH(MONTH(Output!K5),Inputs!$D$66:$D$71,0)))</f>
        <v>22470</v>
      </c>
      <c r="L7" s="80">
        <f>IF(ISERROR(VLOOKUP(MONTH(L5),Inputs!$D$66:$D$71,1,0)),"",INDEX(Inputs!$B$66:$B$71,MATCH(MONTH(Output!L5),Inputs!$D$66:$D$71,0))-INDEX(Inputs!$C$66:$C$71,MATCH(MONTH(Output!L5),Inputs!$D$66:$D$71,0)))</f>
        <v>17971</v>
      </c>
      <c r="M7" s="80">
        <f>IF(ISERROR(VLOOKUP(MONTH(M5),Inputs!$D$66:$D$71,1,0)),"",INDEX(Inputs!$B$66:$B$71,MATCH(MONTH(Output!M5),Inputs!$D$66:$D$71,0))-INDEX(Inputs!$C$66:$C$71,MATCH(MONTH(Output!M5),Inputs!$D$66:$D$71,0)))</f>
        <v>44250</v>
      </c>
      <c r="N7" s="80">
        <f>IF(ISERROR(VLOOKUP(MONTH(N5),Inputs!$D$66:$D$71,1,0)),"",INDEX(Inputs!$B$66:$B$71,MATCH(MONTH(Output!N5),Inputs!$D$66:$D$71,0))-INDEX(Inputs!$C$66:$C$71,MATCH(MONTH(Output!N5),Inputs!$D$66:$D$71,0)))</f>
        <v>32630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21419</v>
      </c>
      <c r="V7" s="80">
        <f>IF(ISERROR(VLOOKUP(MONTH(V5),Inputs!$D$66:$D$71,1,0)),"",INDEX(Inputs!$B$66:$B$71,MATCH(MONTH(Output!V5),Inputs!$D$66:$D$71,0))-INDEX(Inputs!$C$66:$C$71,MATCH(MONTH(Output!V5),Inputs!$D$66:$D$71,0)))</f>
        <v>27598</v>
      </c>
      <c r="W7" s="80">
        <f>IF(ISERROR(VLOOKUP(MONTH(W5),Inputs!$D$66:$D$71,1,0)),"",INDEX(Inputs!$B$66:$B$71,MATCH(MONTH(Output!W5),Inputs!$D$66:$D$71,0))-INDEX(Inputs!$C$66:$C$71,MATCH(MONTH(Output!W5),Inputs!$D$66:$D$71,0)))</f>
        <v>22470</v>
      </c>
      <c r="X7" s="80">
        <f>IF(ISERROR(VLOOKUP(MONTH(X5),Inputs!$D$66:$D$71,1,0)),"",INDEX(Inputs!$B$66:$B$71,MATCH(MONTH(Output!X5),Inputs!$D$66:$D$71,0))-INDEX(Inputs!$C$66:$C$71,MATCH(MONTH(Output!X5),Inputs!$D$66:$D$71,0)))</f>
        <v>17971</v>
      </c>
      <c r="Y7" s="80">
        <f>IF(ISERROR(VLOOKUP(MONTH(Y5),Inputs!$D$66:$D$71,1,0)),"",INDEX(Inputs!$B$66:$B$71,MATCH(MONTH(Output!Y5),Inputs!$D$66:$D$71,0))-INDEX(Inputs!$C$66:$C$71,MATCH(MONTH(Output!Y5),Inputs!$D$66:$D$71,0)))</f>
        <v>44250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110000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110000</v>
      </c>
      <c r="AA9" s="75">
        <f>SUM(B9:M9)</f>
        <v>110000</v>
      </c>
      <c r="AB9" s="75">
        <f>SUM(B9:Y9)</f>
        <v>110000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11000</v>
      </c>
      <c r="D10" s="37">
        <f>SUMPRODUCT((Calculations!$D$33:$D$84=Output!D5)+0,Calculations!$C$33:$C$84)</f>
        <v>11000</v>
      </c>
      <c r="E10" s="37">
        <f>SUMPRODUCT((Calculations!$D$33:$D$84=Output!E5)+0,Calculations!$C$33:$C$84)</f>
        <v>11000</v>
      </c>
      <c r="F10" s="37">
        <f>SUMPRODUCT((Calculations!$D$33:$D$84=Output!F5)+0,Calculations!$C$33:$C$84)</f>
        <v>11000</v>
      </c>
      <c r="G10" s="37">
        <f>SUMPRODUCT((Calculations!$D$33:$D$84=Output!G5)+0,Calculations!$C$33:$C$84)</f>
        <v>11000</v>
      </c>
      <c r="H10" s="37">
        <f>SUMPRODUCT((Calculations!$D$33:$D$84=Output!H5)+0,Calculations!$C$33:$C$84)</f>
        <v>11000</v>
      </c>
      <c r="I10" s="37">
        <f>SUMPRODUCT((Calculations!$D$33:$D$84=Output!I5)+0,Calculations!$C$33:$C$84)</f>
        <v>11000</v>
      </c>
      <c r="J10" s="37">
        <f>SUMPRODUCT((Calculations!$D$33:$D$84=Output!J5)+0,Calculations!$C$33:$C$84)</f>
        <v>11000</v>
      </c>
      <c r="K10" s="37">
        <f>SUMPRODUCT((Calculations!$D$33:$D$84=Output!K5)+0,Calculations!$C$33:$C$84)</f>
        <v>11000</v>
      </c>
      <c r="L10" s="37">
        <f>SUMPRODUCT((Calculations!$D$33:$D$84=Output!L5)+0,Calculations!$C$33:$C$84)</f>
        <v>11000</v>
      </c>
      <c r="M10" s="37">
        <f>SUMPRODUCT((Calculations!$D$33:$D$84=Output!M5)+0,Calculations!$C$33:$C$84)</f>
        <v>11000</v>
      </c>
      <c r="N10" s="37">
        <f>SUMPRODUCT((Calculations!$D$33:$D$84=Output!N5)+0,Calculations!$C$33:$C$84)</f>
        <v>11000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132000</v>
      </c>
      <c r="AA10" s="37">
        <f>SUM(B10:M10)</f>
        <v>121000</v>
      </c>
      <c r="AB10" s="37">
        <f>SUM(B10:Y10)</f>
        <v>132000</v>
      </c>
    </row>
    <row r="11" spans="1:30" customHeight="1" ht="15.75">
      <c r="A11" s="43" t="s">
        <v>31</v>
      </c>
      <c r="B11" s="80">
        <f>B6+B9-B10</f>
        <v>-23115.19335911988</v>
      </c>
      <c r="C11" s="80">
        <f>C6+C9-C10</f>
        <v>-24115.19335911989</v>
      </c>
      <c r="D11" s="80">
        <f>D6+D9-D10</f>
        <v>-45615.19335911989</v>
      </c>
      <c r="E11" s="80">
        <f>E6+E9-E10</f>
        <v>-24115.19335911989</v>
      </c>
      <c r="F11" s="80">
        <f>F6+F9-F10</f>
        <v>249312.7070276784</v>
      </c>
      <c r="G11" s="80">
        <f>G6+G9-G10</f>
        <v>-13285.19335911989</v>
      </c>
      <c r="H11" s="80">
        <f>H6+H9-H10</f>
        <v>-144115.1933591199</v>
      </c>
      <c r="I11" s="80">
        <f>I6+I9-I10</f>
        <v>-24115.19335911989</v>
      </c>
      <c r="J11" s="80">
        <f>J6+J9-J10</f>
        <v>-45615.19335911989</v>
      </c>
      <c r="K11" s="80">
        <f>K6+K9-K10</f>
        <v>-24115.19335911989</v>
      </c>
      <c r="L11" s="80">
        <f>L6+L9-L10</f>
        <v>249312.7070276784</v>
      </c>
      <c r="M11" s="80">
        <f>M6+M9-M10</f>
        <v>-13285.19335911989</v>
      </c>
      <c r="N11" s="80">
        <f>N6+N9-N10</f>
        <v>-144115.1933591199</v>
      </c>
      <c r="O11" s="80">
        <f>O6+O9-O10</f>
        <v>-13115.19335911989</v>
      </c>
      <c r="P11" s="80">
        <f>P6+P9-P10</f>
        <v>-34615.19335911989</v>
      </c>
      <c r="Q11" s="80">
        <f>Q6+Q9-Q10</f>
        <v>-13115.19335911989</v>
      </c>
      <c r="R11" s="80">
        <f>R6+R9-R10</f>
        <v>260312.7070276784</v>
      </c>
      <c r="S11" s="80">
        <f>S6+S9-S10</f>
        <v>-2285.193359119889</v>
      </c>
      <c r="T11" s="80">
        <f>T6+T9-T10</f>
        <v>-133115.1933591199</v>
      </c>
      <c r="U11" s="80">
        <f>U6+U9-U10</f>
        <v>-13115.19335911989</v>
      </c>
      <c r="V11" s="80">
        <f>V6+V9-V10</f>
        <v>-34615.19335911989</v>
      </c>
      <c r="W11" s="80">
        <f>W6+W9-W10</f>
        <v>-13115.19335911989</v>
      </c>
      <c r="X11" s="80">
        <f>X6+X9-X10</f>
        <v>260312.7070276784</v>
      </c>
      <c r="Y11" s="80">
        <f>Y6+Y9-Y10</f>
        <v>-2285.193359119889</v>
      </c>
      <c r="Z11" s="85">
        <f>SUMIF($B$13:$Y$13,"Yes",B11:Y11)</f>
        <v>-26981.71289496189</v>
      </c>
      <c r="AA11" s="80">
        <f>SUM(B11:M11)</f>
        <v>117133.480464158</v>
      </c>
      <c r="AB11" s="46">
        <f>SUM(B11:Y11)</f>
        <v>234266.960928316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0.2495010919585169</v>
      </c>
      <c r="G12" s="82">
        <f>IF(G13="Yes",IF(SUM($B$10:G10)/(SUM($B$6:G6)+SUM($B$9:G9))&lt;0,999.99,SUM($B$10:G10)/(SUM($B$6:G6)+SUM($B$9:G9))),"")</f>
        <v>0.3159707588403724</v>
      </c>
      <c r="H12" s="82">
        <f>IF(H13="Yes",IF(SUM($B$10:H10)/(SUM($B$6:H6)+SUM($B$9:H9))&lt;0,999.99,SUM($B$10:H10)/(SUM($B$6:H6)+SUM($B$9:H9))),"")</f>
        <v>1.611660731760554</v>
      </c>
      <c r="I12" s="82">
        <f>IF(I13="Yes",IF(SUM($B$10:I10)/(SUM($B$6:I6)+SUM($B$9:I9))&lt;0,999.99,SUM($B$10:I10)/(SUM($B$6:I6)+SUM($B$9:I9))),"")</f>
        <v>2.766166910537267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0.4575351749958348</v>
      </c>
      <c r="M12" s="82">
        <f>IF(M13="Yes",IF(SUM($B$10:M10)/(SUM($B$6:M6)+SUM($B$9:M9))&lt;0,999.99,SUM($B$10:M10)/(SUM($B$6:M6)+SUM($B$9:M9))),"")</f>
        <v>0.5081183870665845</v>
      </c>
      <c r="N12" s="82">
        <f>IF(N13="Yes",IF(SUM($B$10:N10)/(SUM($B$6:N6)+SUM($B$9:N9))&lt;0,999.99,SUM($B$10:N10)/(SUM($B$6:N6)+SUM($B$9:N9))),"")</f>
        <v>1.256923947616619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273427.9003867983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273427.9003867983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273427.9003867983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273427.9003867983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546855.8007735966</v>
      </c>
      <c r="AA18" s="36">
        <f>SUM(B18:M18)</f>
        <v>546855.8007735966</v>
      </c>
      <c r="AB18" s="36">
        <f>SUM(B18:Y18)</f>
        <v>1093711.601547193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12000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7187.5</v>
      </c>
      <c r="C24" s="36">
        <f>IFERROR(Calculations!$P14/12,"")</f>
        <v>7187.5</v>
      </c>
      <c r="D24" s="36">
        <f>IFERROR(Calculations!$P14/12,"")</f>
        <v>7187.5</v>
      </c>
      <c r="E24" s="36">
        <f>IFERROR(Calculations!$P14/12,"")</f>
        <v>7187.5</v>
      </c>
      <c r="F24" s="36">
        <f>IFERROR(Calculations!$P14/12,"")</f>
        <v>7187.5</v>
      </c>
      <c r="G24" s="36">
        <f>IFERROR(Calculations!$P14/12,"")</f>
        <v>7187.5</v>
      </c>
      <c r="H24" s="36">
        <f>IFERROR(Calculations!$P14/12,"")</f>
        <v>7187.5</v>
      </c>
      <c r="I24" s="36">
        <f>IFERROR(Calculations!$P14/12,"")</f>
        <v>7187.5</v>
      </c>
      <c r="J24" s="36">
        <f>IFERROR(Calculations!$P14/12,"")</f>
        <v>7187.5</v>
      </c>
      <c r="K24" s="36">
        <f>IFERROR(Calculations!$P14/12,"")</f>
        <v>7187.5</v>
      </c>
      <c r="L24" s="36">
        <f>IFERROR(Calculations!$P14/12,"")</f>
        <v>7187.5</v>
      </c>
      <c r="M24" s="36">
        <f>IFERROR(Calculations!$P14/12,"")</f>
        <v>7187.5</v>
      </c>
      <c r="N24" s="36">
        <f>IFERROR(Calculations!$P14/12,"")</f>
        <v>7187.5</v>
      </c>
      <c r="O24" s="36">
        <f>IFERROR(Calculations!$P14/12,"")</f>
        <v>7187.5</v>
      </c>
      <c r="P24" s="36">
        <f>IFERROR(Calculations!$P14/12,"")</f>
        <v>7187.5</v>
      </c>
      <c r="Q24" s="36">
        <f>IFERROR(Calculations!$P14/12,"")</f>
        <v>7187.5</v>
      </c>
      <c r="R24" s="36">
        <f>IFERROR(Calculations!$P14/12,"")</f>
        <v>7187.5</v>
      </c>
      <c r="S24" s="36">
        <f>IFERROR(Calculations!$P14/12,"")</f>
        <v>7187.5</v>
      </c>
      <c r="T24" s="36">
        <f>IFERROR(Calculations!$P14/12,"")</f>
        <v>7187.5</v>
      </c>
      <c r="U24" s="36">
        <f>IFERROR(Calculations!$P14/12,"")</f>
        <v>7187.5</v>
      </c>
      <c r="V24" s="36">
        <f>IFERROR(Calculations!$P14/12,"")</f>
        <v>7187.5</v>
      </c>
      <c r="W24" s="36">
        <f>IFERROR(Calculations!$P14/12,"")</f>
        <v>7187.5</v>
      </c>
      <c r="X24" s="36">
        <f>IFERROR(Calculations!$P14/12,"")</f>
        <v>7187.5</v>
      </c>
      <c r="Y24" s="36">
        <f>IFERROR(Calculations!$P14/12,"")</f>
        <v>7187.5</v>
      </c>
      <c r="Z24" s="36">
        <f>SUMIF($B$13:$Y$13,"Yes",B24:Y24)</f>
        <v>93437.5</v>
      </c>
      <c r="AA24" s="36">
        <f>SUM(B24:M24)</f>
        <v>86250</v>
      </c>
      <c r="AB24" s="46">
        <f>SUM(B24:Y24)</f>
        <v>172500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7187.5</v>
      </c>
      <c r="C30" s="19">
        <f>SUM(C18:C29)</f>
        <v>7187.5</v>
      </c>
      <c r="D30" s="19">
        <f>SUM(D18:D29)</f>
        <v>7187.5</v>
      </c>
      <c r="E30" s="19">
        <f>SUM(E18:E29)</f>
        <v>7187.5</v>
      </c>
      <c r="F30" s="19">
        <f>SUM(F18:F29)</f>
        <v>280615.4003867983</v>
      </c>
      <c r="G30" s="19">
        <f>SUM(G18:G29)</f>
        <v>7187.5</v>
      </c>
      <c r="H30" s="19">
        <f>SUM(H18:H29)</f>
        <v>7187.5</v>
      </c>
      <c r="I30" s="19">
        <f>SUM(I18:I29)</f>
        <v>7187.5</v>
      </c>
      <c r="J30" s="19">
        <f>SUM(J18:J29)</f>
        <v>7187.5</v>
      </c>
      <c r="K30" s="19">
        <f>SUM(K18:K29)</f>
        <v>7187.5</v>
      </c>
      <c r="L30" s="19">
        <f>SUM(L18:L29)</f>
        <v>280615.4003867983</v>
      </c>
      <c r="M30" s="19">
        <f>SUM(M18:M29)</f>
        <v>7187.5</v>
      </c>
      <c r="N30" s="19">
        <f>SUM(N18:N29)</f>
        <v>7187.5</v>
      </c>
      <c r="O30" s="19">
        <f>SUM(O18:O29)</f>
        <v>7187.5</v>
      </c>
      <c r="P30" s="19">
        <f>SUM(P18:P29)</f>
        <v>7187.5</v>
      </c>
      <c r="Q30" s="19">
        <f>SUM(Q18:Q29)</f>
        <v>7187.5</v>
      </c>
      <c r="R30" s="19">
        <f>SUM(R18:R29)</f>
        <v>280615.4003867983</v>
      </c>
      <c r="S30" s="19">
        <f>SUM(S18:S29)</f>
        <v>7187.5</v>
      </c>
      <c r="T30" s="19">
        <f>SUM(T18:T29)</f>
        <v>7187.5</v>
      </c>
      <c r="U30" s="19">
        <f>SUM(U18:U29)</f>
        <v>7187.5</v>
      </c>
      <c r="V30" s="19">
        <f>SUM(V18:V29)</f>
        <v>7187.5</v>
      </c>
      <c r="W30" s="19">
        <f>SUM(W18:W29)</f>
        <v>7187.5</v>
      </c>
      <c r="X30" s="19">
        <f>SUM(X18:X29)</f>
        <v>280615.4003867983</v>
      </c>
      <c r="Y30" s="19">
        <f>SUM(Y18:Y29)</f>
        <v>7187.5</v>
      </c>
      <c r="Z30" s="19">
        <f>SUMIF($B$13:$Y$13,"Yes",B30:Y30)</f>
        <v>640293.3007735966</v>
      </c>
      <c r="AA30" s="19">
        <f>SUM(B30:M30)</f>
        <v>633105.8007735966</v>
      </c>
      <c r="AB30" s="19">
        <f>SUM(B30:Y30)</f>
        <v>1266211.601547193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120000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120000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120000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120000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360000</v>
      </c>
      <c r="AA42" s="36">
        <f>SUM(B42:M42)</f>
        <v>240000</v>
      </c>
      <c r="AB42" s="36">
        <f>SUM(B42:Y42)</f>
        <v>480000</v>
      </c>
    </row>
    <row r="43" spans="1:30" hidden="true" outlineLevel="1">
      <c r="A43" s="181" t="str">
        <f>Calculations!$A$4</f>
        <v>Potatoes</v>
      </c>
      <c r="B43" s="36">
        <f>N43</f>
        <v>120000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120000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120000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120000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360000</v>
      </c>
      <c r="AA43" s="36">
        <f>SUM(B43:M43)</f>
        <v>240000</v>
      </c>
      <c r="AB43" s="36">
        <f>SUM(B43:Y43)</f>
        <v>480000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21500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21500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21500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21500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43000</v>
      </c>
      <c r="AA48" s="46">
        <f>SUM(B48:M48)</f>
        <v>43000</v>
      </c>
      <c r="AB48" s="46">
        <f>SUM(B48:Y48)</f>
        <v>86000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21500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21500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21500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21500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43000</v>
      </c>
      <c r="AA49" s="46">
        <f>SUM(B49:M49)</f>
        <v>43000</v>
      </c>
      <c r="AB49" s="46">
        <f>SUM(B49:Y49)</f>
        <v>86000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10830</v>
      </c>
      <c r="C66" s="36">
        <f>O66</f>
        <v>10830</v>
      </c>
      <c r="D66" s="36">
        <f>P66</f>
        <v>10830</v>
      </c>
      <c r="E66" s="36">
        <f>Q66</f>
        <v>10830</v>
      </c>
      <c r="F66" s="36">
        <f>R66</f>
        <v>10830</v>
      </c>
      <c r="G66" s="36">
        <f>S66</f>
        <v>0</v>
      </c>
      <c r="H66" s="36">
        <f>T66</f>
        <v>10830</v>
      </c>
      <c r="I66" s="36">
        <f>U66</f>
        <v>10830</v>
      </c>
      <c r="J66" s="36">
        <f>V66</f>
        <v>10830</v>
      </c>
      <c r="K66" s="36">
        <f>W66</f>
        <v>10830</v>
      </c>
      <c r="L66" s="36">
        <f>X66</f>
        <v>10830</v>
      </c>
      <c r="M66" s="36">
        <f>Y66</f>
        <v>0</v>
      </c>
      <c r="N66" s="46">
        <f>SUM(N67:N71)</f>
        <v>10830</v>
      </c>
      <c r="O66" s="46">
        <f>SUM(O67:O71)</f>
        <v>10830</v>
      </c>
      <c r="P66" s="46">
        <f>SUM(P67:P71)</f>
        <v>10830</v>
      </c>
      <c r="Q66" s="46">
        <f>SUM(Q67:Q71)</f>
        <v>10830</v>
      </c>
      <c r="R66" s="46">
        <f>SUM(R67:R71)</f>
        <v>10830</v>
      </c>
      <c r="S66" s="46">
        <f>SUM(S67:S71)</f>
        <v>0</v>
      </c>
      <c r="T66" s="46">
        <f>SUM(T67:T71)</f>
        <v>10830</v>
      </c>
      <c r="U66" s="46">
        <f>SUM(U67:U71)</f>
        <v>10830</v>
      </c>
      <c r="V66" s="46">
        <f>SUM(V67:V71)</f>
        <v>10830</v>
      </c>
      <c r="W66" s="46">
        <f>SUM(W67:W71)</f>
        <v>10830</v>
      </c>
      <c r="X66" s="46">
        <f>SUM(X67:X71)</f>
        <v>10830</v>
      </c>
      <c r="Y66" s="46">
        <f>SUM(Y67:Y71)</f>
        <v>0</v>
      </c>
      <c r="Z66" s="46">
        <f>SUMIF($B$13:$Y$13,"Yes",B66:Y66)</f>
        <v>119130</v>
      </c>
      <c r="AA66" s="46">
        <f>SUM(B66:M66)</f>
        <v>108300</v>
      </c>
      <c r="AB66" s="46">
        <f>SUM(B66:Y66)</f>
        <v>216600</v>
      </c>
    </row>
    <row r="67" spans="1:30" hidden="true" outlineLevel="1">
      <c r="A67" s="181" t="str">
        <f>Calculations!$A$4</f>
        <v>Potatoes</v>
      </c>
      <c r="B67" s="36">
        <f>N67</f>
        <v>10830</v>
      </c>
      <c r="C67" s="36">
        <f>O67</f>
        <v>10830</v>
      </c>
      <c r="D67" s="36">
        <f>P67</f>
        <v>10830</v>
      </c>
      <c r="E67" s="36">
        <f>Q67</f>
        <v>10830</v>
      </c>
      <c r="F67" s="36">
        <f>R67</f>
        <v>10830</v>
      </c>
      <c r="G67" s="36">
        <f>S67</f>
        <v>0</v>
      </c>
      <c r="H67" s="36">
        <f>T67</f>
        <v>10830</v>
      </c>
      <c r="I67" s="36">
        <f>U67</f>
        <v>10830</v>
      </c>
      <c r="J67" s="36">
        <f>V67</f>
        <v>10830</v>
      </c>
      <c r="K67" s="36">
        <f>W67</f>
        <v>10830</v>
      </c>
      <c r="L67" s="36">
        <f>X67</f>
        <v>10830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10830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10830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10830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10830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10830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10830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10830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10830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10830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10830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119130</v>
      </c>
      <c r="AA67" s="46">
        <f>SUM(B67:M67)</f>
        <v>108300</v>
      </c>
      <c r="AB67" s="46">
        <f>SUM(B67:Y67)</f>
        <v>216600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19770.83333333333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4333.333333333334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500</v>
      </c>
      <c r="C76" s="46">
        <f>SUM(Calculations!$S$14:$S$16)/12</f>
        <v>500</v>
      </c>
      <c r="D76" s="46">
        <f>SUM(Calculations!$S$14:$S$16)/12</f>
        <v>500</v>
      </c>
      <c r="E76" s="46">
        <f>SUM(Calculations!$S$14:$S$16)/12</f>
        <v>500</v>
      </c>
      <c r="F76" s="46">
        <f>SUM(Calculations!$S$14:$S$16)/12</f>
        <v>500</v>
      </c>
      <c r="G76" s="46">
        <f>SUM(Calculations!$S$14:$S$16)/12</f>
        <v>500</v>
      </c>
      <c r="H76" s="46">
        <f>SUM(Calculations!$S$14:$S$16)/12</f>
        <v>500</v>
      </c>
      <c r="I76" s="46">
        <f>SUM(Calculations!$S$14:$S$16)/12</f>
        <v>500</v>
      </c>
      <c r="J76" s="46">
        <f>SUM(Calculations!$S$14:$S$16)/12</f>
        <v>500</v>
      </c>
      <c r="K76" s="46">
        <f>SUM(Calculations!$S$14:$S$16)/12</f>
        <v>500</v>
      </c>
      <c r="L76" s="46">
        <f>SUM(Calculations!$S$14:$S$16)/12</f>
        <v>500</v>
      </c>
      <c r="M76" s="46">
        <f>SUM(Calculations!$S$14:$S$16)/12</f>
        <v>500</v>
      </c>
      <c r="N76" s="46">
        <f>SUM(Calculations!$S$14:$S$16)/12</f>
        <v>500</v>
      </c>
      <c r="O76" s="46">
        <f>SUM(Calculations!$S$14:$S$16)/12</f>
        <v>500</v>
      </c>
      <c r="P76" s="46">
        <f>SUM(Calculations!$S$14:$S$16)/12</f>
        <v>500</v>
      </c>
      <c r="Q76" s="46">
        <f>SUM(Calculations!$S$14:$S$16)/12</f>
        <v>500</v>
      </c>
      <c r="R76" s="46">
        <f>SUM(Calculations!$S$14:$S$16)/12</f>
        <v>500</v>
      </c>
      <c r="S76" s="46">
        <f>SUM(Calculations!$S$14:$S$16)/12</f>
        <v>500</v>
      </c>
      <c r="T76" s="46">
        <f>SUM(Calculations!$S$14:$S$16)/12</f>
        <v>500</v>
      </c>
      <c r="U76" s="46">
        <f>SUM(Calculations!$S$14:$S$16)/12</f>
        <v>500</v>
      </c>
      <c r="V76" s="46">
        <f>SUM(Calculations!$S$14:$S$16)/12</f>
        <v>500</v>
      </c>
      <c r="W76" s="46">
        <f>SUM(Calculations!$S$14:$S$16)/12</f>
        <v>500</v>
      </c>
      <c r="X76" s="46">
        <f>SUM(Calculations!$S$14:$S$16)/12</f>
        <v>500</v>
      </c>
      <c r="Y76" s="46">
        <f>SUM(Calculations!$S$14:$S$16)/12</f>
        <v>500</v>
      </c>
      <c r="Z76" s="46">
        <f>SUMIF($B$13:$Y$13,"Yes",B76:Y76)</f>
        <v>6500</v>
      </c>
      <c r="AA76" s="46">
        <f>SUM(B76:M76)</f>
        <v>6000</v>
      </c>
      <c r="AB76" s="46">
        <f>SUM(B76:Y76)</f>
        <v>12000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7118.526692453222</v>
      </c>
      <c r="C81" s="46">
        <f>(SUM($AA$18:$AA$29)-SUM($AA$36,$AA$42,$AA$48,$AA$54,$AA$60,$AA$66,$AA$72:$AA$79))*Parameters!$B$37/12</f>
        <v>7118.526692453222</v>
      </c>
      <c r="D81" s="46">
        <f>(SUM($AA$18:$AA$29)-SUM($AA$36,$AA$42,$AA$48,$AA$54,$AA$60,$AA$66,$AA$72:$AA$79))*Parameters!$B$37/12</f>
        <v>7118.526692453222</v>
      </c>
      <c r="E81" s="46">
        <f>(SUM($AA$18:$AA$29)-SUM($AA$36,$AA$42,$AA$48,$AA$54,$AA$60,$AA$66,$AA$72:$AA$79))*Parameters!$B$37/12</f>
        <v>7118.526692453222</v>
      </c>
      <c r="F81" s="46">
        <f>(SUM($AA$18:$AA$29)-SUM($AA$36,$AA$42,$AA$48,$AA$54,$AA$60,$AA$66,$AA$72:$AA$79))*Parameters!$B$37/12</f>
        <v>7118.526692453222</v>
      </c>
      <c r="G81" s="46">
        <f>(SUM($AA$18:$AA$29)-SUM($AA$36,$AA$42,$AA$48,$AA$54,$AA$60,$AA$66,$AA$72:$AA$79))*Parameters!$B$37/12</f>
        <v>7118.526692453222</v>
      </c>
      <c r="H81" s="46">
        <f>(SUM($AA$18:$AA$29)-SUM($AA$36,$AA$42,$AA$48,$AA$54,$AA$60,$AA$66,$AA$72:$AA$79))*Parameters!$B$37/12</f>
        <v>7118.526692453222</v>
      </c>
      <c r="I81" s="46">
        <f>(SUM($AA$18:$AA$29)-SUM($AA$36,$AA$42,$AA$48,$AA$54,$AA$60,$AA$66,$AA$72:$AA$79))*Parameters!$B$37/12</f>
        <v>7118.526692453222</v>
      </c>
      <c r="J81" s="46">
        <f>(SUM($AA$18:$AA$29)-SUM($AA$36,$AA$42,$AA$48,$AA$54,$AA$60,$AA$66,$AA$72:$AA$79))*Parameters!$B$37/12</f>
        <v>7118.526692453222</v>
      </c>
      <c r="K81" s="46">
        <f>(SUM($AA$18:$AA$29)-SUM($AA$36,$AA$42,$AA$48,$AA$54,$AA$60,$AA$66,$AA$72:$AA$79))*Parameters!$B$37/12</f>
        <v>7118.526692453222</v>
      </c>
      <c r="L81" s="46">
        <f>(SUM($AA$18:$AA$29)-SUM($AA$36,$AA$42,$AA$48,$AA$54,$AA$60,$AA$66,$AA$72:$AA$79))*Parameters!$B$37/12</f>
        <v>7118.526692453222</v>
      </c>
      <c r="M81" s="46">
        <f>(SUM($AA$18:$AA$29)-SUM($AA$36,$AA$42,$AA$48,$AA$54,$AA$60,$AA$66,$AA$72:$AA$79))*Parameters!$B$37/12</f>
        <v>7118.526692453222</v>
      </c>
      <c r="N81" s="46">
        <f>(SUM($AA$18:$AA$29)-SUM($AA$36,$AA$42,$AA$48,$AA$54,$AA$60,$AA$66,$AA$72:$AA$79))*Parameters!$B$37/12</f>
        <v>7118.526692453222</v>
      </c>
      <c r="O81" s="46">
        <f>(SUM($AA$18:$AA$29)-SUM($AA$36,$AA$42,$AA$48,$AA$54,$AA$60,$AA$66,$AA$72:$AA$79))*Parameters!$B$37/12</f>
        <v>7118.526692453222</v>
      </c>
      <c r="P81" s="46">
        <f>(SUM($AA$18:$AA$29)-SUM($AA$36,$AA$42,$AA$48,$AA$54,$AA$60,$AA$66,$AA$72:$AA$79))*Parameters!$B$37/12</f>
        <v>7118.526692453222</v>
      </c>
      <c r="Q81" s="46">
        <f>(SUM($AA$18:$AA$29)-SUM($AA$36,$AA$42,$AA$48,$AA$54,$AA$60,$AA$66,$AA$72:$AA$79))*Parameters!$B$37/12</f>
        <v>7118.526692453222</v>
      </c>
      <c r="R81" s="46">
        <f>(SUM($AA$18:$AA$29)-SUM($AA$36,$AA$42,$AA$48,$AA$54,$AA$60,$AA$66,$AA$72:$AA$79))*Parameters!$B$37/12</f>
        <v>7118.526692453222</v>
      </c>
      <c r="S81" s="46">
        <f>(SUM($AA$18:$AA$29)-SUM($AA$36,$AA$42,$AA$48,$AA$54,$AA$60,$AA$66,$AA$72:$AA$79))*Parameters!$B$37/12</f>
        <v>7118.526692453222</v>
      </c>
      <c r="T81" s="46">
        <f>(SUM($AA$18:$AA$29)-SUM($AA$36,$AA$42,$AA$48,$AA$54,$AA$60,$AA$66,$AA$72:$AA$79))*Parameters!$B$37/12</f>
        <v>7118.526692453222</v>
      </c>
      <c r="U81" s="46">
        <f>(SUM($AA$18:$AA$29)-SUM($AA$36,$AA$42,$AA$48,$AA$54,$AA$60,$AA$66,$AA$72:$AA$79))*Parameters!$B$37/12</f>
        <v>7118.526692453222</v>
      </c>
      <c r="V81" s="46">
        <f>(SUM($AA$18:$AA$29)-SUM($AA$36,$AA$42,$AA$48,$AA$54,$AA$60,$AA$66,$AA$72:$AA$79))*Parameters!$B$37/12</f>
        <v>7118.526692453222</v>
      </c>
      <c r="W81" s="46">
        <f>(SUM($AA$18:$AA$29)-SUM($AA$36,$AA$42,$AA$48,$AA$54,$AA$60,$AA$66,$AA$72:$AA$79))*Parameters!$B$37/12</f>
        <v>7118.526692453222</v>
      </c>
      <c r="X81" s="46">
        <f>(SUM($AA$18:$AA$29)-SUM($AA$36,$AA$42,$AA$48,$AA$54,$AA$60,$AA$66,$AA$72:$AA$79))*Parameters!$B$37/12</f>
        <v>7118.526692453222</v>
      </c>
      <c r="Y81" s="46">
        <f>(SUM($AA$18:$AA$29)-SUM($AA$36,$AA$42,$AA$48,$AA$54,$AA$60,$AA$66,$AA$72:$AA$79))*Parameters!$B$37/12</f>
        <v>7118.526692453222</v>
      </c>
      <c r="Z81" s="46">
        <f>SUMIF($B$13:$Y$13,"Yes",B81:Y81)</f>
        <v>92540.84700189186</v>
      </c>
      <c r="AA81" s="46">
        <f>SUM(B81:M81)</f>
        <v>85422.32030943864</v>
      </c>
      <c r="AB81" s="46">
        <f>SUM(B81:Y81)</f>
        <v>170844.6406188773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140302.6933591199</v>
      </c>
      <c r="C88" s="19">
        <f>SUM(C72:C82,C66,C60,C54,C48,C42,C36)</f>
        <v>20302.69335911989</v>
      </c>
      <c r="D88" s="19">
        <f>SUM(D72:D82,D66,D60,D54,D48,D42,D36)</f>
        <v>41802.69335911989</v>
      </c>
      <c r="E88" s="19">
        <f>SUM(E72:E82,E66,E60,E54,E48,E42,E36)</f>
        <v>20302.69335911989</v>
      </c>
      <c r="F88" s="19">
        <f>SUM(F72:F82,F66,F60,F54,F48,F42,F36)</f>
        <v>20302.69335911989</v>
      </c>
      <c r="G88" s="19">
        <f>SUM(G72:G82,G66,G60,G54,G48,G42,G36)</f>
        <v>9472.693359119889</v>
      </c>
      <c r="H88" s="19">
        <f>SUM(H72:H82,H66,H60,H54,H48,H42,H36)</f>
        <v>140302.6933591199</v>
      </c>
      <c r="I88" s="19">
        <f>SUM(I72:I82,I66,I60,I54,I48,I42,I36)</f>
        <v>20302.69335911989</v>
      </c>
      <c r="J88" s="19">
        <f>SUM(J72:J82,J66,J60,J54,J48,J42,J36)</f>
        <v>41802.69335911989</v>
      </c>
      <c r="K88" s="19">
        <f>SUM(K72:K82,K66,K60,K54,K48,K42,K36)</f>
        <v>20302.69335911989</v>
      </c>
      <c r="L88" s="19">
        <f>SUM(L72:L82,L66,L60,L54,L48,L42,L36)</f>
        <v>20302.69335911989</v>
      </c>
      <c r="M88" s="19">
        <f>SUM(M72:M82,M66,M60,M54,M48,M42,M36)</f>
        <v>9472.693359119889</v>
      </c>
      <c r="N88" s="19">
        <f>SUM(N72:N82,N66,N60,N54,N48,N42,N36)</f>
        <v>140302.6933591199</v>
      </c>
      <c r="O88" s="19">
        <f>SUM(O72:O82,O66,O60,O54,O48,O42,O36)</f>
        <v>20302.69335911989</v>
      </c>
      <c r="P88" s="19">
        <f>SUM(P72:P82,P66,P60,P54,P48,P42,P36)</f>
        <v>41802.69335911989</v>
      </c>
      <c r="Q88" s="19">
        <f>SUM(Q72:Q82,Q66,Q60,Q54,Q48,Q42,Q36)</f>
        <v>20302.69335911989</v>
      </c>
      <c r="R88" s="19">
        <f>SUM(R72:R82,R66,R60,R54,R48,R42,R36)</f>
        <v>20302.69335911989</v>
      </c>
      <c r="S88" s="19">
        <f>SUM(S72:S82,S66,S60,S54,S48,S42,S36)</f>
        <v>9472.693359119889</v>
      </c>
      <c r="T88" s="19">
        <f>SUM(T72:T82,T66,T60,T54,T48,T42,T36)</f>
        <v>140302.6933591199</v>
      </c>
      <c r="U88" s="19">
        <f>SUM(U72:U82,U66,U60,U54,U48,U42,U36)</f>
        <v>20302.69335911989</v>
      </c>
      <c r="V88" s="19">
        <f>SUM(V72:V82,V66,V60,V54,V48,V42,V36)</f>
        <v>41802.69335911989</v>
      </c>
      <c r="W88" s="19">
        <f>SUM(W72:W82,W66,W60,W54,W48,W42,W36)</f>
        <v>20302.69335911989</v>
      </c>
      <c r="X88" s="19">
        <f>SUM(X72:X82,X66,X60,X54,X48,X42,X36)</f>
        <v>20302.69335911989</v>
      </c>
      <c r="Y88" s="19">
        <f>SUM(Y72:Y82,Y66,Y60,Y54,Y48,Y42,Y36)</f>
        <v>9472.693359119889</v>
      </c>
      <c r="Z88" s="19">
        <f>SUMIF($B$13:$Y$13,"Yes",B88:Y88)</f>
        <v>645275.0136685583</v>
      </c>
      <c r="AA88" s="19">
        <f>SUM(B88:M88)</f>
        <v>504972.3203094385</v>
      </c>
      <c r="AB88" s="19">
        <f>SUM(B88:Y88)</f>
        <v>1009944.640618878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10000</v>
      </c>
    </row>
    <row r="96" spans="1:30">
      <c r="A96" t="s">
        <v>62</v>
      </c>
      <c r="B96" s="36">
        <f>SUMPRODUCT(Inputs!C19:C21,Calculations!O14:O16)</f>
        <v>240000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1750000</v>
      </c>
    </row>
    <row r="98" spans="1:30">
      <c r="A98" t="s">
        <v>64</v>
      </c>
      <c r="B98" s="36">
        <f>IF(Inputs!B44="Yes",Inputs!B45,0)</f>
        <v>400000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2620000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35892</v>
      </c>
    </row>
    <row r="106" spans="1:30" customHeight="1" ht="15.75">
      <c r="A106" s="18" t="s">
        <v>71</v>
      </c>
      <c r="B106" s="37">
        <f>Calculations!G35</f>
        <v>110000</v>
      </c>
    </row>
    <row r="107" spans="1:30" customHeight="1" ht="15.75">
      <c r="A107" s="1" t="s">
        <v>72</v>
      </c>
      <c r="B107" s="19">
        <f>SUM(B104:B106)</f>
        <v>147892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20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</v>
      </c>
    </row>
    <row r="27" spans="1:48">
      <c r="A27" s="14" t="s">
        <v>112</v>
      </c>
    </row>
    <row r="29" spans="1:48">
      <c r="A29" s="45" t="s">
        <v>113</v>
      </c>
      <c r="B29" s="156">
        <v>0</v>
      </c>
    </row>
    <row r="30" spans="1:48">
      <c r="A30" s="44" t="s">
        <v>114</v>
      </c>
      <c r="B30" s="157">
        <v>0</v>
      </c>
    </row>
    <row r="31" spans="1:48">
      <c r="A31" s="5" t="s">
        <v>115</v>
      </c>
      <c r="B31" s="158">
        <v>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92</v>
      </c>
    </row>
    <row r="45" spans="1:48">
      <c r="A45" s="56" t="s">
        <v>128</v>
      </c>
      <c r="B45" s="161">
        <v>400000</v>
      </c>
    </row>
    <row r="46" spans="1:48" customHeight="1" ht="30">
      <c r="A46" s="57" t="s">
        <v>129</v>
      </c>
      <c r="B46" s="161">
        <v>100000</v>
      </c>
    </row>
    <row r="47" spans="1:48" customHeight="1" ht="30">
      <c r="A47" s="57" t="s">
        <v>130</v>
      </c>
      <c r="B47" s="161">
        <v>10000</v>
      </c>
    </row>
    <row r="48" spans="1:48" customHeight="1" ht="30">
      <c r="A48" s="57" t="s">
        <v>131</v>
      </c>
      <c r="B48" s="161">
        <v>100000</v>
      </c>
    </row>
    <row r="49" spans="1:48" customHeight="1" ht="30">
      <c r="A49" s="57" t="s">
        <v>132</v>
      </c>
      <c r="B49" s="161">
        <v>20000</v>
      </c>
    </row>
    <row r="50" spans="1:48">
      <c r="A50" s="43"/>
      <c r="B50" s="36"/>
    </row>
    <row r="51" spans="1:48">
      <c r="A51" s="58" t="s">
        <v>133</v>
      </c>
      <c r="B51" s="161">
        <v>2000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60000</v>
      </c>
      <c r="B56" s="159">
        <v>35892</v>
      </c>
      <c r="C56" s="162" t="s">
        <v>141</v>
      </c>
      <c r="D56" s="163" t="s">
        <v>142</v>
      </c>
      <c r="E56" s="163" t="s">
        <v>92</v>
      </c>
      <c r="F56" s="163" t="s">
        <v>143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145</v>
      </c>
      <c r="C65" s="10" t="s">
        <v>146</v>
      </c>
    </row>
    <row r="66" spans="1:48">
      <c r="A66" s="142" t="s">
        <v>94</v>
      </c>
      <c r="B66" s="159">
        <v>99500</v>
      </c>
      <c r="C66" s="163">
        <v>66870</v>
      </c>
      <c r="D66" s="49">
        <f>INDEX(Parameters!$D$79:$D$90,MATCH(Inputs!A66,Parameters!$C$79:$C$90,0))</f>
        <v>9</v>
      </c>
    </row>
    <row r="67" spans="1:48">
      <c r="A67" s="143" t="s">
        <v>147</v>
      </c>
      <c r="B67" s="157">
        <v>85750</v>
      </c>
      <c r="C67" s="165">
        <v>41500</v>
      </c>
      <c r="D67" s="49">
        <f>INDEX(Parameters!$D$79:$D$90,MATCH(Inputs!A67,Parameters!$C$79:$C$90,0))</f>
        <v>8</v>
      </c>
    </row>
    <row r="68" spans="1:48">
      <c r="A68" s="143" t="s">
        <v>148</v>
      </c>
      <c r="B68" s="157">
        <v>50560</v>
      </c>
      <c r="C68" s="165">
        <v>32589</v>
      </c>
      <c r="D68" s="49">
        <f>INDEX(Parameters!$D$79:$D$90,MATCH(Inputs!A68,Parameters!$C$79:$C$90,0))</f>
        <v>7</v>
      </c>
    </row>
    <row r="69" spans="1:48">
      <c r="A69" s="143" t="s">
        <v>149</v>
      </c>
      <c r="B69" s="157">
        <v>49558</v>
      </c>
      <c r="C69" s="165">
        <v>27088</v>
      </c>
      <c r="D69" s="49">
        <f>INDEX(Parameters!$D$79:$D$90,MATCH(Inputs!A69,Parameters!$C$79:$C$90,0))</f>
        <v>6</v>
      </c>
    </row>
    <row r="70" spans="1:48">
      <c r="A70" s="143" t="s">
        <v>150</v>
      </c>
      <c r="B70" s="157">
        <v>68856</v>
      </c>
      <c r="C70" s="165">
        <v>41258</v>
      </c>
      <c r="D70" s="49">
        <f>INDEX(Parameters!$D$79:$D$90,MATCH(Inputs!A70,Parameters!$C$79:$C$90,0))</f>
        <v>5</v>
      </c>
    </row>
    <row r="71" spans="1:48">
      <c r="A71" s="144" t="s">
        <v>151</v>
      </c>
      <c r="B71" s="158">
        <v>81530</v>
      </c>
      <c r="C71" s="167">
        <v>60111</v>
      </c>
      <c r="D71" s="49">
        <f>INDEX(Parameters!$D$79:$D$90,MATCH(Inputs!A71,Parameters!$C$79:$C$90,0))</f>
        <v>4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14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110000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43040</v>
      </c>
      <c r="D4" s="38">
        <f>IFERROR(DATE(YEAR(B4),MONTH(B4)+T4,DAY(B4)),"")</f>
        <v>43101</v>
      </c>
      <c r="E4" s="38">
        <f>IFERROR(IF($S4=0,"",IF($S4=2,DATE(YEAR(B4),MONTH(B4)+6,DAY(B4)),IF($S4=1,B4,""))),"")</f>
        <v>43160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43282</v>
      </c>
      <c r="H4" s="20">
        <f>Inputs!C7</f>
        <v>5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24413.20539167842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546855.8007735966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120000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21500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57000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9</v>
      </c>
      <c r="AD5" s="22">
        <f>IF($A5=0,1/12,IFERROR(INDEX(Parameters!$X$2:$AI$17,MATCH(Calculations!$A5,Parameters!$A$2:$A$17,0),MONTH(Calculations!AD$3)),1/12))</f>
        <v>10</v>
      </c>
      <c r="AE5" s="22">
        <f>IF($A5=0,1/12,IFERROR(INDEX(Parameters!$X$2:$AI$17,MATCH(Calculations!$A5,Parameters!$A$2:$A$17,0),MONTH(Calculations!AE$3)),1/12))</f>
        <v>11</v>
      </c>
      <c r="AF5" s="22">
        <f>IF($A5=0,1/12,IFERROR(INDEX(Parameters!$X$2:$AI$17,MATCH(Calculations!$A5,Parameters!$A$2:$A$17,0),MONTH(Calculations!AF$3)),1/12))</f>
        <v>12</v>
      </c>
      <c r="AG5" s="22">
        <f>IF($A5=0,1/12,IFERROR(INDEX(Parameters!$X$2:$AI$17,MATCH(Calculations!$A5,Parameters!$A$2:$A$17,0),MONTH(Calculations!AG$3)),1/12))</f>
        <v>1</v>
      </c>
      <c r="AH5" s="22">
        <f>IF($A5=0,1/12,IFERROR(INDEX(Parameters!$X$2:$AI$17,MATCH(Calculations!$A5,Parameters!$A$2:$A$17,0),MONTH(Calculations!AH$3)),1/12))</f>
        <v>2</v>
      </c>
      <c r="AI5" s="22">
        <f>IF($A5=0,1/12,IFERROR(INDEX(Parameters!$X$2:$AI$17,MATCH(Calculations!$A5,Parameters!$A$2:$A$17,0),MONTH(Calculations!AI$3)),1/12))</f>
        <v>3</v>
      </c>
      <c r="AJ5" s="22">
        <f>IF($A5=0,1/12,IFERROR(INDEX(Parameters!$X$2:$AI$17,MATCH(Calculations!$A5,Parameters!$A$2:$A$17,0),MONTH(Calculations!AJ$3)),1/12))</f>
        <v>4</v>
      </c>
      <c r="AK5" s="22">
        <f>IF($A5=0,1/12,IFERROR(INDEX(Parameters!$X$2:$AI$17,MATCH(Calculations!$A5,Parameters!$A$2:$A$17,0),MONTH(Calculations!AK$3)),1/12))</f>
        <v>5</v>
      </c>
      <c r="AL5" s="22">
        <f>IF($A5=0,1/12,IFERROR(INDEX(Parameters!$X$2:$AI$17,MATCH(Calculations!$A5,Parameters!$A$2:$A$17,0),MONTH(Calculations!AL$3)),1/12))</f>
        <v>6</v>
      </c>
      <c r="AM5" s="22">
        <f>IF($A5=0,1/12,IFERROR(INDEX(Parameters!$X$2:$AI$17,MATCH(Calculations!$A5,Parameters!$A$2:$A$17,0),MONTH(Calculations!AM$3)),1/12))</f>
        <v>7</v>
      </c>
      <c r="AN5" s="22">
        <f>IF($A5=0,1/12,IFERROR(INDEX(Parameters!$X$2:$AI$17,MATCH(Calculations!$A5,Parameters!$A$2:$A$17,0),MONTH(Calculations!AN$3)),1/12))</f>
        <v>8</v>
      </c>
      <c r="AO5" s="22">
        <f>IF($A5=0,1/12,IFERROR(INDEX(Parameters!$X$2:$AI$17,MATCH(Calculations!$A5,Parameters!$A$2:$A$17,0),MONTH(Calculations!AO$3)),1/12))</f>
        <v>9</v>
      </c>
      <c r="AP5" s="22">
        <f>IF($A5=0,1/12,IFERROR(INDEX(Parameters!$X$2:$AI$17,MATCH(Calculations!$A5,Parameters!$A$2:$A$17,0),MONTH(Calculations!AP$3)),1/12))</f>
        <v>10</v>
      </c>
      <c r="AQ5" s="22">
        <f>IF($A5=0,1/12,IFERROR(INDEX(Parameters!$X$2:$AI$17,MATCH(Calculations!$A5,Parameters!$A$2:$A$17,0),MONTH(Calculations!AQ$3)),1/12))</f>
        <v>11</v>
      </c>
      <c r="AR5" s="22">
        <f>IF($A5=0,1/12,IFERROR(INDEX(Parameters!$X$2:$AI$17,MATCH(Calculations!$A5,Parameters!$A$2:$A$17,0),MONTH(Calculations!AR$3)),1/12))</f>
        <v>12</v>
      </c>
      <c r="AS5" s="22">
        <f>IF($A5=0,1/12,IFERROR(INDEX(Parameters!$X$2:$AI$17,MATCH(Calculations!$A5,Parameters!$A$2:$A$17,0),MONTH(Calculations!AS$3)),1/12))</f>
        <v>1</v>
      </c>
      <c r="AT5" s="22">
        <f>IF($A5=0,1/12,IFERROR(INDEX(Parameters!$X$2:$AI$17,MATCH(Calculations!$A5,Parameters!$A$2:$A$17,0),MONTH(Calculations!AT$3)),1/12))</f>
        <v>2</v>
      </c>
      <c r="AU5" s="22">
        <f>IF($A5=0,1/12,IFERROR(INDEX(Parameters!$X$2:$AI$17,MATCH(Calculations!$A5,Parameters!$A$2:$A$17,0),MONTH(Calculations!AU$3)),1/12))</f>
        <v>3</v>
      </c>
      <c r="AV5" s="22">
        <f>IF($A5=0,1/12,IFERROR(INDEX(Parameters!$X$2:$AI$17,MATCH(Calculations!$A5,Parameters!$A$2:$A$17,0),MONTH(Calculations!AV$3)),1/12))</f>
        <v>4</v>
      </c>
      <c r="AW5" s="22">
        <f>IF($A5=0,1/12,IFERROR(INDEX(Parameters!$X$2:$AI$17,MATCH(Calculations!$A5,Parameters!$A$2:$A$17,0),MONTH(Calculations!AW$3)),1/12))</f>
        <v>5</v>
      </c>
      <c r="AX5" s="22">
        <f>IF($A5=0,1/12,IFERROR(INDEX(Parameters!$X$2:$AI$17,MATCH(Calculations!$A5,Parameters!$A$2:$A$17,0),MONTH(Calculations!AX$3)),1/12))</f>
        <v>6</v>
      </c>
      <c r="AY5" s="22">
        <f>IF($A5=0,1/12,IFERROR(INDEX(Parameters!$X$2:$AI$17,MATCH(Calculations!$A5,Parameters!$A$2:$A$17,0),MONTH(Calculations!AY$3)),1/12))</f>
        <v>7</v>
      </c>
      <c r="AZ5" s="22">
        <f>IF($A5=0,1/12,IFERROR(INDEX(Parameters!$X$2:$AI$17,MATCH(Calculations!$A5,Parameters!$A$2:$A$17,0),MONTH(Calculations!AZ$3)),1/12))</f>
        <v>8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9</v>
      </c>
      <c r="AD6" s="22">
        <f>IF($A6=0,1/12,IFERROR(INDEX(Parameters!$X$2:$AI$17,MATCH(Calculations!$A6,Parameters!$A$2:$A$17,0),MONTH(Calculations!AD$3)),1/12))</f>
        <v>10</v>
      </c>
      <c r="AE6" s="22">
        <f>IF($A6=0,1/12,IFERROR(INDEX(Parameters!$X$2:$AI$17,MATCH(Calculations!$A6,Parameters!$A$2:$A$17,0),MONTH(Calculations!AE$3)),1/12))</f>
        <v>11</v>
      </c>
      <c r="AF6" s="22">
        <f>IF($A6=0,1/12,IFERROR(INDEX(Parameters!$X$2:$AI$17,MATCH(Calculations!$A6,Parameters!$A$2:$A$17,0),MONTH(Calculations!AF$3)),1/12))</f>
        <v>12</v>
      </c>
      <c r="AG6" s="22">
        <f>IF($A6=0,1/12,IFERROR(INDEX(Parameters!$X$2:$AI$17,MATCH(Calculations!$A6,Parameters!$A$2:$A$17,0),MONTH(Calculations!AG$3)),1/12))</f>
        <v>1</v>
      </c>
      <c r="AH6" s="22">
        <f>IF($A6=0,1/12,IFERROR(INDEX(Parameters!$X$2:$AI$17,MATCH(Calculations!$A6,Parameters!$A$2:$A$17,0),MONTH(Calculations!AH$3)),1/12))</f>
        <v>2</v>
      </c>
      <c r="AI6" s="22">
        <f>IF($A6=0,1/12,IFERROR(INDEX(Parameters!$X$2:$AI$17,MATCH(Calculations!$A6,Parameters!$A$2:$A$17,0),MONTH(Calculations!AI$3)),1/12))</f>
        <v>3</v>
      </c>
      <c r="AJ6" s="22">
        <f>IF($A6=0,1/12,IFERROR(INDEX(Parameters!$X$2:$AI$17,MATCH(Calculations!$A6,Parameters!$A$2:$A$17,0),MONTH(Calculations!AJ$3)),1/12))</f>
        <v>4</v>
      </c>
      <c r="AK6" s="22">
        <f>IF($A6=0,1/12,IFERROR(INDEX(Parameters!$X$2:$AI$17,MATCH(Calculations!$A6,Parameters!$A$2:$A$17,0),MONTH(Calculations!AK$3)),1/12))</f>
        <v>5</v>
      </c>
      <c r="AL6" s="22">
        <f>IF($A6=0,1/12,IFERROR(INDEX(Parameters!$X$2:$AI$17,MATCH(Calculations!$A6,Parameters!$A$2:$A$17,0),MONTH(Calculations!AL$3)),1/12))</f>
        <v>6</v>
      </c>
      <c r="AM6" s="22">
        <f>IF($A6=0,1/12,IFERROR(INDEX(Parameters!$X$2:$AI$17,MATCH(Calculations!$A6,Parameters!$A$2:$A$17,0),MONTH(Calculations!AM$3)),1/12))</f>
        <v>7</v>
      </c>
      <c r="AN6" s="22">
        <f>IF($A6=0,1/12,IFERROR(INDEX(Parameters!$X$2:$AI$17,MATCH(Calculations!$A6,Parameters!$A$2:$A$17,0),MONTH(Calculations!AN$3)),1/12))</f>
        <v>8</v>
      </c>
      <c r="AO6" s="22">
        <f>IF($A6=0,1/12,IFERROR(INDEX(Parameters!$X$2:$AI$17,MATCH(Calculations!$A6,Parameters!$A$2:$A$17,0),MONTH(Calculations!AO$3)),1/12))</f>
        <v>9</v>
      </c>
      <c r="AP6" s="22">
        <f>IF($A6=0,1/12,IFERROR(INDEX(Parameters!$X$2:$AI$17,MATCH(Calculations!$A6,Parameters!$A$2:$A$17,0),MONTH(Calculations!AP$3)),1/12))</f>
        <v>10</v>
      </c>
      <c r="AQ6" s="22">
        <f>IF($A6=0,1/12,IFERROR(INDEX(Parameters!$X$2:$AI$17,MATCH(Calculations!$A6,Parameters!$A$2:$A$17,0),MONTH(Calculations!AQ$3)),1/12))</f>
        <v>11</v>
      </c>
      <c r="AR6" s="22">
        <f>IF($A6=0,1/12,IFERROR(INDEX(Parameters!$X$2:$AI$17,MATCH(Calculations!$A6,Parameters!$A$2:$A$17,0),MONTH(Calculations!AR$3)),1/12))</f>
        <v>12</v>
      </c>
      <c r="AS6" s="22">
        <f>IF($A6=0,1/12,IFERROR(INDEX(Parameters!$X$2:$AI$17,MATCH(Calculations!$A6,Parameters!$A$2:$A$17,0),MONTH(Calculations!AS$3)),1/12))</f>
        <v>1</v>
      </c>
      <c r="AT6" s="22">
        <f>IF($A6=0,1/12,IFERROR(INDEX(Parameters!$X$2:$AI$17,MATCH(Calculations!$A6,Parameters!$A$2:$A$17,0),MONTH(Calculations!AT$3)),1/12))</f>
        <v>2</v>
      </c>
      <c r="AU6" s="22">
        <f>IF($A6=0,1/12,IFERROR(INDEX(Parameters!$X$2:$AI$17,MATCH(Calculations!$A6,Parameters!$A$2:$A$17,0),MONTH(Calculations!AU$3)),1/12))</f>
        <v>3</v>
      </c>
      <c r="AV6" s="22">
        <f>IF($A6=0,1/12,IFERROR(INDEX(Parameters!$X$2:$AI$17,MATCH(Calculations!$A6,Parameters!$A$2:$A$17,0),MONTH(Calculations!AV$3)),1/12))</f>
        <v>4</v>
      </c>
      <c r="AW6" s="22">
        <f>IF($A6=0,1/12,IFERROR(INDEX(Parameters!$X$2:$AI$17,MATCH(Calculations!$A6,Parameters!$A$2:$A$17,0),MONTH(Calculations!AW$3)),1/12))</f>
        <v>5</v>
      </c>
      <c r="AX6" s="22">
        <f>IF($A6=0,1/12,IFERROR(INDEX(Parameters!$X$2:$AI$17,MATCH(Calculations!$A6,Parameters!$A$2:$A$17,0),MONTH(Calculations!AX$3)),1/12))</f>
        <v>6</v>
      </c>
      <c r="AY6" s="22">
        <f>IF($A6=0,1/12,IFERROR(INDEX(Parameters!$X$2:$AI$17,MATCH(Calculations!$A6,Parameters!$A$2:$A$17,0),MONTH(Calculations!AY$3)),1/12))</f>
        <v>7</v>
      </c>
      <c r="AZ6" s="22">
        <f>IF($A6=0,1/12,IFERROR(INDEX(Parameters!$X$2:$AI$17,MATCH(Calculations!$A6,Parameters!$A$2:$A$17,0),MONTH(Calculations!AZ$3)),1/12))</f>
        <v>8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9</v>
      </c>
      <c r="AD7" s="22">
        <f>IF($A7=0,1/12,IFERROR(INDEX(Parameters!$X$2:$AI$17,MATCH(Calculations!$A7,Parameters!$A$2:$A$17,0),MONTH(Calculations!AD$3)),1/12))</f>
        <v>10</v>
      </c>
      <c r="AE7" s="22">
        <f>IF($A7=0,1/12,IFERROR(INDEX(Parameters!$X$2:$AI$17,MATCH(Calculations!$A7,Parameters!$A$2:$A$17,0),MONTH(Calculations!AE$3)),1/12))</f>
        <v>11</v>
      </c>
      <c r="AF7" s="22">
        <f>IF($A7=0,1/12,IFERROR(INDEX(Parameters!$X$2:$AI$17,MATCH(Calculations!$A7,Parameters!$A$2:$A$17,0),MONTH(Calculations!AF$3)),1/12))</f>
        <v>12</v>
      </c>
      <c r="AG7" s="22">
        <f>IF($A7=0,1/12,IFERROR(INDEX(Parameters!$X$2:$AI$17,MATCH(Calculations!$A7,Parameters!$A$2:$A$17,0),MONTH(Calculations!AG$3)),1/12))</f>
        <v>1</v>
      </c>
      <c r="AH7" s="22">
        <f>IF($A7=0,1/12,IFERROR(INDEX(Parameters!$X$2:$AI$17,MATCH(Calculations!$A7,Parameters!$A$2:$A$17,0),MONTH(Calculations!AH$3)),1/12))</f>
        <v>2</v>
      </c>
      <c r="AI7" s="22">
        <f>IF($A7=0,1/12,IFERROR(INDEX(Parameters!$X$2:$AI$17,MATCH(Calculations!$A7,Parameters!$A$2:$A$17,0),MONTH(Calculations!AI$3)),1/12))</f>
        <v>3</v>
      </c>
      <c r="AJ7" s="22">
        <f>IF($A7=0,1/12,IFERROR(INDEX(Parameters!$X$2:$AI$17,MATCH(Calculations!$A7,Parameters!$A$2:$A$17,0),MONTH(Calculations!AJ$3)),1/12))</f>
        <v>4</v>
      </c>
      <c r="AK7" s="22">
        <f>IF($A7=0,1/12,IFERROR(INDEX(Parameters!$X$2:$AI$17,MATCH(Calculations!$A7,Parameters!$A$2:$A$17,0),MONTH(Calculations!AK$3)),1/12))</f>
        <v>5</v>
      </c>
      <c r="AL7" s="22">
        <f>IF($A7=0,1/12,IFERROR(INDEX(Parameters!$X$2:$AI$17,MATCH(Calculations!$A7,Parameters!$A$2:$A$17,0),MONTH(Calculations!AL$3)),1/12))</f>
        <v>6</v>
      </c>
      <c r="AM7" s="22">
        <f>IF($A7=0,1/12,IFERROR(INDEX(Parameters!$X$2:$AI$17,MATCH(Calculations!$A7,Parameters!$A$2:$A$17,0),MONTH(Calculations!AM$3)),1/12))</f>
        <v>7</v>
      </c>
      <c r="AN7" s="22">
        <f>IF($A7=0,1/12,IFERROR(INDEX(Parameters!$X$2:$AI$17,MATCH(Calculations!$A7,Parameters!$A$2:$A$17,0),MONTH(Calculations!AN$3)),1/12))</f>
        <v>8</v>
      </c>
      <c r="AO7" s="22">
        <f>IF($A7=0,1/12,IFERROR(INDEX(Parameters!$X$2:$AI$17,MATCH(Calculations!$A7,Parameters!$A$2:$A$17,0),MONTH(Calculations!AO$3)),1/12))</f>
        <v>9</v>
      </c>
      <c r="AP7" s="22">
        <f>IF($A7=0,1/12,IFERROR(INDEX(Parameters!$X$2:$AI$17,MATCH(Calculations!$A7,Parameters!$A$2:$A$17,0),MONTH(Calculations!AP$3)),1/12))</f>
        <v>10</v>
      </c>
      <c r="AQ7" s="22">
        <f>IF($A7=0,1/12,IFERROR(INDEX(Parameters!$X$2:$AI$17,MATCH(Calculations!$A7,Parameters!$A$2:$A$17,0),MONTH(Calculations!AQ$3)),1/12))</f>
        <v>11</v>
      </c>
      <c r="AR7" s="22">
        <f>IF($A7=0,1/12,IFERROR(INDEX(Parameters!$X$2:$AI$17,MATCH(Calculations!$A7,Parameters!$A$2:$A$17,0),MONTH(Calculations!AR$3)),1/12))</f>
        <v>12</v>
      </c>
      <c r="AS7" s="22">
        <f>IF($A7=0,1/12,IFERROR(INDEX(Parameters!$X$2:$AI$17,MATCH(Calculations!$A7,Parameters!$A$2:$A$17,0),MONTH(Calculations!AS$3)),1/12))</f>
        <v>1</v>
      </c>
      <c r="AT7" s="22">
        <f>IF($A7=0,1/12,IFERROR(INDEX(Parameters!$X$2:$AI$17,MATCH(Calculations!$A7,Parameters!$A$2:$A$17,0),MONTH(Calculations!AT$3)),1/12))</f>
        <v>2</v>
      </c>
      <c r="AU7" s="22">
        <f>IF($A7=0,1/12,IFERROR(INDEX(Parameters!$X$2:$AI$17,MATCH(Calculations!$A7,Parameters!$A$2:$A$17,0),MONTH(Calculations!AU$3)),1/12))</f>
        <v>3</v>
      </c>
      <c r="AV7" s="22">
        <f>IF($A7=0,1/12,IFERROR(INDEX(Parameters!$X$2:$AI$17,MATCH(Calculations!$A7,Parameters!$A$2:$A$17,0),MONTH(Calculations!AV$3)),1/12))</f>
        <v>4</v>
      </c>
      <c r="AW7" s="22">
        <f>IF($A7=0,1/12,IFERROR(INDEX(Parameters!$X$2:$AI$17,MATCH(Calculations!$A7,Parameters!$A$2:$A$17,0),MONTH(Calculations!AW$3)),1/12))</f>
        <v>5</v>
      </c>
      <c r="AX7" s="22">
        <f>IF($A7=0,1/12,IFERROR(INDEX(Parameters!$X$2:$AI$17,MATCH(Calculations!$A7,Parameters!$A$2:$A$17,0),MONTH(Calculations!AX$3)),1/12))</f>
        <v>6</v>
      </c>
      <c r="AY7" s="22">
        <f>IF($A7=0,1/12,IFERROR(INDEX(Parameters!$X$2:$AI$17,MATCH(Calculations!$A7,Parameters!$A$2:$A$17,0),MONTH(Calculations!AY$3)),1/12))</f>
        <v>7</v>
      </c>
      <c r="AZ7" s="22">
        <f>IF($A7=0,1/12,IFERROR(INDEX(Parameters!$X$2:$AI$17,MATCH(Calculations!$A7,Parameters!$A$2:$A$17,0),MONTH(Calculations!AZ$3)),1/12))</f>
        <v>8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20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</v>
      </c>
      <c r="H14" s="121">
        <f>IFERROR(IF(B14="meat",INDEX(Parameters!$A$22:$P$29,MATCH(Calculations!A14,Parameters!$A$22:$A$29,0),MATCH(Parameters!$I$22,Parameters!$A$22:$P$22,0))*G14,""),"")</f>
        <v>34.5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86250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6000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>60000</v>
      </c>
      <c r="B23" s="75">
        <f>SUM(C23:D23)</f>
        <v>-89305</v>
      </c>
      <c r="C23" s="75">
        <f>IF(Inputs!B56&gt;0,(Inputs!A56-Inputs!B56)/(DATE(YEAR(Inputs!$B$76),MONTH(Inputs!$B$76),DAY(Inputs!$B$76))-DATE(YEAR(Inputs!C56),MONTH(Inputs!C56),DAY(Inputs!C56)))*30,0)</f>
        <v>-90405</v>
      </c>
      <c r="D23" s="75">
        <f>IF(Inputs!B56&gt;0,Inputs!A56*0.22/12,0)</f>
        <v>1100</v>
      </c>
      <c r="E23" s="75">
        <f>IFERROR(ROUNDUP(Inputs!B56/C23,0),0)</f>
        <v>-1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43033</v>
      </c>
      <c r="C33" s="27">
        <f>IF(B33&lt;&gt;"",IF(COUNT($A$33:A33)&lt;=$G$39,0,$G$41)+IF(COUNT($A$33:A33)&lt;=$G$40,0,$G$42),0)</f>
        <v>11000</v>
      </c>
      <c r="D33" s="170">
        <f>IFERROR(DATE(YEAR(B33),MONTH(B33),1)," ")</f>
        <v>43009</v>
      </c>
      <c r="F33" t="s">
        <v>157</v>
      </c>
      <c r="G33" s="128">
        <f>IF(Inputs!B79="","",DATE(YEAR(Inputs!B79),MONTH(Inputs!B79),DAY(Inputs!B79)))</f>
        <v>43007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43064</v>
      </c>
      <c r="C34" s="27">
        <f>IF(B34&lt;&gt;"",IF(COUNT($A$33:A34)&lt;=$G$39,0,$G$41)+IF(COUNT($A$33:A34)&lt;=$G$40,0,$G$42),0)</f>
        <v>11000</v>
      </c>
      <c r="D34" s="170">
        <f>IFERROR(DATE(YEAR(B34),MONTH(B34),1)," ")</f>
        <v>43040</v>
      </c>
      <c r="F34" t="s">
        <v>159</v>
      </c>
      <c r="G34" s="128">
        <f>IF(Inputs!B80="","",DATE(YEAR(Inputs!B80),MONTH(Inputs!B80),DAY(Inputs!B80)))</f>
        <v>43033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43094</v>
      </c>
      <c r="C35" s="27">
        <f>IF(B35&lt;&gt;"",IF(COUNT($A$33:A35)&lt;=$G$39,0,$G$41)+IF(COUNT($A$33:A35)&lt;=$G$40,0,$G$42),0)</f>
        <v>11000</v>
      </c>
      <c r="D35" s="170">
        <f>IFERROR(DATE(YEAR(B35),MONTH(B35),1)," ")</f>
        <v>43070</v>
      </c>
      <c r="F35" t="s">
        <v>161</v>
      </c>
      <c r="G35" s="27">
        <f>Inputs!B81</f>
        <v>110000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43125</v>
      </c>
      <c r="C36" s="27">
        <f>IF(B36&lt;&gt;"",IF(COUNT($A$33:A36)&lt;=$G$39,0,$G$41)+IF(COUNT($A$33:A36)&lt;=$G$40,0,$G$42),0)</f>
        <v>11000</v>
      </c>
      <c r="D36" s="170">
        <f>IFERROR(DATE(YEAR(B36),MONTH(B36),1)," ")</f>
        <v>43101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43156</v>
      </c>
      <c r="C37" s="27">
        <f>IF(B37&lt;&gt;"",IF(COUNT($A$33:A37)&lt;=$G$39,0,$G$41)+IF(COUNT($A$33:A37)&lt;=$G$40,0,$G$42),0)</f>
        <v>11000</v>
      </c>
      <c r="D37" s="170">
        <f>IFERROR(DATE(YEAR(B37),MONTH(B37),1)," ")</f>
        <v>43132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43184</v>
      </c>
      <c r="C38" s="27">
        <f>IF(B38&lt;&gt;"",IF(COUNT($A$33:A38)&lt;=$G$39,0,$G$41)+IF(COUNT($A$33:A38)&lt;=$G$40,0,$G$42),0)</f>
        <v>11000</v>
      </c>
      <c r="D38" s="170">
        <f>IFERROR(DATE(YEAR(B38),MONTH(B38),1)," ")</f>
        <v>43160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43215</v>
      </c>
      <c r="C39" s="27">
        <f>IF(B39&lt;&gt;"",IF(COUNT($A$33:A39)&lt;=$G$39,0,$G$41)+IF(COUNT($A$33:A39)&lt;=$G$40,0,$G$42),0)</f>
        <v>11000</v>
      </c>
      <c r="D39" s="170">
        <f>IFERROR(DATE(YEAR(B39),MONTH(B39),1)," ")</f>
        <v>43191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43245</v>
      </c>
      <c r="C40" s="27">
        <f>IF(B40&lt;&gt;"",IF(COUNT($A$33:A40)&lt;=$G$39,0,$G$41)+IF(COUNT($A$33:A40)&lt;=$G$40,0,$G$42),0)</f>
        <v>11000</v>
      </c>
      <c r="D40" s="170">
        <f>IFERROR(DATE(YEAR(B40),MONTH(B40),1)," ")</f>
        <v>43221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43276</v>
      </c>
      <c r="C41" s="27">
        <f>IF(B41&lt;&gt;"",IF(COUNT($A$33:A41)&lt;=$G$39,0,$G$41)+IF(COUNT($A$33:A41)&lt;=$G$40,0,$G$42),0)</f>
        <v>11000</v>
      </c>
      <c r="D41" s="170">
        <f>IFERROR(DATE(YEAR(B41),MONTH(B41),1)," ")</f>
        <v>43252</v>
      </c>
      <c r="F41" t="s">
        <v>225</v>
      </c>
      <c r="G41" s="73">
        <f>IFERROR(G35/(G38-G39),"")</f>
        <v>9166.666666666666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43306</v>
      </c>
      <c r="C42" s="27">
        <f>IF(B42&lt;&gt;"",IF(COUNT($A$33:A42)&lt;=$G$39,0,$G$41)+IF(COUNT($A$33:A42)&lt;=$G$40,0,$G$42),0)</f>
        <v>11000</v>
      </c>
      <c r="D42" s="170">
        <f>IFERROR(DATE(YEAR(B42),MONTH(B42),1)," ")</f>
        <v>43282</v>
      </c>
      <c r="F42" t="s">
        <v>226</v>
      </c>
      <c r="G42" s="73">
        <f>IFERROR(G35*G36*IF(G37="Monthly",G38/12,IF(G37="Fortnightly",G38/(365/14),G38/(365/28)))/(G38-G40),"")</f>
        <v>1833.333333333333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43337</v>
      </c>
      <c r="C43" s="27">
        <f>IF(B43&lt;&gt;"",IF(COUNT($A$33:A43)&lt;=$G$39,0,$G$41)+IF(COUNT($A$33:A43)&lt;=$G$40,0,$G$42),0)</f>
        <v>11000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43368</v>
      </c>
      <c r="C44" s="27">
        <f>IF(B44&lt;&gt;"",IF(COUNT($A$33:A44)&lt;=$G$39,0,$G$41)+IF(COUNT($A$33:A44)&lt;=$G$40,0,$G$42),0)</f>
        <v>11000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199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295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295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108</v>
      </c>
      <c r="B28" s="71" t="s">
        <v>295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295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108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312</v>
      </c>
      <c r="H52" s="12" t="s">
        <v>126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227</v>
      </c>
      <c r="E53" s="10" t="s">
        <v>186</v>
      </c>
      <c r="F53" s="10" t="s">
        <v>246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164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223</v>
      </c>
      <c r="J76" s="11" t="s">
        <v>346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93</v>
      </c>
      <c r="F77" s="12" t="s">
        <v>93</v>
      </c>
      <c r="G77" s="12" t="s">
        <v>348</v>
      </c>
      <c r="H77" s="12" t="s">
        <v>126</v>
      </c>
      <c r="I77" s="12" t="s">
        <v>349</v>
      </c>
      <c r="J77" s="136" t="s">
        <v>350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109</v>
      </c>
      <c r="H78" s="12" t="s">
        <v>313</v>
      </c>
      <c r="I78" s="12" t="s">
        <v>354</v>
      </c>
      <c r="J78" s="70" t="s">
        <v>355</v>
      </c>
      <c r="K78" s="12" t="s">
        <v>93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164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361</v>
      </c>
      <c r="F80" s="12" t="s">
        <v>362</v>
      </c>
      <c r="J80" s="70" t="s">
        <v>363</v>
      </c>
      <c r="K80" s="12" t="s">
        <v>92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150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148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