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<sst xmlns="http://schemas.openxmlformats.org/spreadsheetml/2006/main" uniqueCount="378">
  <si>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</si>
  <si>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</si>
  <si>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</si>
  <si>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</si>
  <si>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</si>
  <si>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</si>
  <si>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</si>
  <si>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</si>
  <si>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</si>
  <si>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</si>
  <si>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</si>
  <si>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</si>
  <si>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</si>
  <si>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</si>
  <si>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</si>
  <si>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</si>
  <si>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</si>
  <si>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</si>
  <si>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</si>
  <si>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</si>
  <si>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</si>
  <si>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</si>
  <si>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</si>
  <si>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</si>
  <si>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</si>
  <si>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</si>
  <si>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</si>
  <si>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</si>
  <si>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</si>
  <si>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</si>
  <si>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</si>
  <si>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</si>
  <si>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</si>
  <si>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</si>
  <si>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</si>
  <si>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</si>
  <si>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</si>
  <si>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</si>
  <si>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</si>
  <si>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</si>
  <si>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</si>
  <si>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</si>
  <si>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</si>
  <si>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</si>
  <si>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</si>
  <si>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</si>
  <si>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</si>
  <si>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</si>
  <si>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</si>
  <si>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</si>
  <si>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</si>
  <si>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</si>
  <si>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</si>
  <si>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</si>
  <si>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</si>
  <si>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</si>
  <si>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</si>
  <si>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</si>
  <si>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</si>
  <si>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</si>
  <si>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</si>
  <si>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</si>
  <si>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</si>
  <si>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</si>
  <si>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</si>
  <si>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</si>
  <si>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</si>
  <si>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</si>
  <si>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</si>
  <si>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</si>
  <si>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</si>
  <si>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</si>
  <si>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</si>
  <si>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</si>
  <si>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</si>
  <si>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</si>
  <si>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</si>
  <si>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</si>
  <si>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</si>
  <si>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</si>
  <si>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</si>
  <si>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</si>
  <si>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</si>
  <si>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</si>
  <si>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</si>
  <si>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</si>
  <si>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</si>
  <si>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</si>
  <si>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</si>
  <si>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</si>
  <si>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</si>
  <si>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</si>
  <si>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No</t>
  </si>
  <si>
    <t>Yes using a diesel pump</t>
  </si>
  <si>
    <t>October</t>
  </si>
  <si>
    <t>Beans</t>
  </si>
  <si>
    <t>Yes</t>
  </si>
  <si>
    <t>Other crops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</si>
  <si>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</si>
  <si>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</si>
  <si>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</si>
  <si>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</si>
  <si>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</si>
  <si>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</si>
  <si>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</si>
  <si>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</si>
  <si>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</si>
  <si>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</si>
  <si>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</si>
  <si>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</si>
  <si>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</si>
  <si>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</si>
  <si>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</si>
  <si>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</si>
  <si>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</si>
  <si>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</si>
  <si>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</si>
  <si>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</si>
  <si>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</si>
  <si>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</si>
  <si>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</si>
  <si>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</si>
  <si>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</si>
  <si>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</si>
  <si>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</si>
  <si>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</si>
  <si>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</si>
  <si>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</si>
  <si>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</si>
  <si>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</si>
  <si>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</si>
  <si>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</si>
  <si>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</si>
  <si>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</si>
  <si>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</si>
  <si>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</si>
  <si>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</si>
  <si>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</si>
  <si>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</si>
  <si>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</si>
  <si>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</si>
  <si>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</si>
  <si>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</si>
  <si>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</si>
  <si>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11/11/2015</t>
  </si>
  <si>
    <t>Mobile</t>
  </si>
  <si>
    <t>poor loan repayment</t>
  </si>
  <si>
    <t>12/21/2010</t>
  </si>
  <si>
    <t>equity</t>
  </si>
  <si>
    <t>good loan repayment</t>
  </si>
  <si>
    <t>10/2/2014</t>
  </si>
  <si>
    <t xml:space="preserve">average loan repayment </t>
  </si>
  <si>
    <t>11/13/2016</t>
  </si>
  <si>
    <t>mobile</t>
  </si>
  <si>
    <t>3/23/2015</t>
  </si>
  <si>
    <t>average loan repayment</t>
  </si>
  <si>
    <t>Mpesa &amp; bank cash flows (from past statements)</t>
  </si>
  <si>
    <t>Cash inflows</t>
  </si>
  <si>
    <t>Cash outflows</t>
  </si>
  <si>
    <t>November</t>
  </si>
  <si>
    <t>December</t>
  </si>
  <si>
    <t>February</t>
  </si>
  <si>
    <t>March</t>
  </si>
  <si>
    <t>Loan info</t>
  </si>
  <si>
    <t>Branch ID</t>
  </si>
  <si>
    <t>Submission date</t>
  </si>
  <si>
    <t>2017/9/27</t>
  </si>
  <si>
    <t>Loan terms</t>
  </si>
  <si>
    <t>Expected disbursement date</t>
  </si>
  <si>
    <t>Expected first repayment date</t>
  </si>
  <si>
    <t>2017/10/27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</si>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</sst>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October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1.558059217253906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2018</v>
      </c>
    </row>
    <row r="13" spans="1:7">
      <c r="B13" s="1" t="s">
        <v>8</v>
      </c>
      <c r="C13" s="67">
        <f>IFERROR(Output!B107/Output!B101,"")</f>
        <v>0.06016755521706017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-72998.80260380593</v>
      </c>
    </row>
    <row r="18" spans="1:7">
      <c r="B18" s="1" t="s">
        <v>12</v>
      </c>
      <c r="C18" s="36">
        <f>MIN(Output!B6:M6)</f>
        <v>-38321.65382359808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41870.05081838657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113048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4055.489033544775</v>
      </c>
      <c r="C6" s="51">
        <f>C30-C88</f>
        <v>-38139.65382359808</v>
      </c>
      <c r="D6" s="51">
        <f>D30-D88</f>
        <v>-26321.65382359808</v>
      </c>
      <c r="E6" s="51">
        <f>E30-E88</f>
        <v>-38321.65382359808</v>
      </c>
      <c r="F6" s="51">
        <f>F30-F88</f>
        <v>-26321.65382359808</v>
      </c>
      <c r="G6" s="51">
        <f>G30-G88</f>
        <v>29252.90796124372</v>
      </c>
      <c r="H6" s="51">
        <f>H30-H88</f>
        <v>-8561.653823598081</v>
      </c>
      <c r="I6" s="51">
        <f>I30-I88</f>
        <v>-27955.85128382843</v>
      </c>
      <c r="J6" s="51">
        <f>J30-J88</f>
        <v>18860.90574933101</v>
      </c>
      <c r="K6" s="51">
        <f>K30-K88</f>
        <v>12288.47520196205</v>
      </c>
      <c r="L6" s="51">
        <f>L30-L88</f>
        <v>-13704.51096645523</v>
      </c>
      <c r="M6" s="51">
        <f>M30-M88</f>
        <v>41870.05081838657</v>
      </c>
      <c r="N6" s="51">
        <f>N30-N88</f>
        <v>4055.489033544775</v>
      </c>
      <c r="O6" s="51">
        <f>O30-O88</f>
        <v>-38139.65382359808</v>
      </c>
      <c r="P6" s="51">
        <f>P30-P88</f>
        <v>-26321.65382359808</v>
      </c>
      <c r="Q6" s="51">
        <f>Q30-Q88</f>
        <v>-38321.65382359808</v>
      </c>
      <c r="R6" s="51">
        <f>R30-R88</f>
        <v>-26321.65382359808</v>
      </c>
      <c r="S6" s="51">
        <f>S30-S88</f>
        <v>29252.90796124372</v>
      </c>
      <c r="T6" s="51">
        <f>T30-T88</f>
        <v>-8561.653823598081</v>
      </c>
      <c r="U6" s="51">
        <f>U30-U88</f>
        <v>-27955.85128382843</v>
      </c>
      <c r="V6" s="51">
        <f>V30-V88</f>
        <v>18860.90574933101</v>
      </c>
      <c r="W6" s="51">
        <f>W30-W88</f>
        <v>12288.47520196205</v>
      </c>
      <c r="X6" s="51">
        <f>X30-X88</f>
        <v>-13704.51096645523</v>
      </c>
      <c r="Y6" s="51">
        <f>Y30-Y88</f>
        <v>41870.05081838657</v>
      </c>
      <c r="Z6" s="51">
        <f>SUMIF($B$13:$Y$13,"Yes",B6:Y6)</f>
        <v>-68943.31357026116</v>
      </c>
      <c r="AA6" s="51">
        <f>AA30-AA88</f>
        <v>-72998.8026038059</v>
      </c>
      <c r="AB6" s="51">
        <f>AB30-AB88</f>
        <v>-145997.6052076117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15000</v>
      </c>
      <c r="D7" s="80">
        <f>IF(ISERROR(VLOOKUP(MONTH(D5),Inputs!$D$66:$D$71,1,0)),"",INDEX(Inputs!$B$66:$B$71,MATCH(MONTH(Output!D5),Inputs!$D$66:$D$71,0))-INDEX(Inputs!$C$66:$C$71,MATCH(MONTH(Output!D5),Inputs!$D$66:$D$71,0)))</f>
        <v>-17000</v>
      </c>
      <c r="E7" s="80">
        <f>IF(ISERROR(VLOOKUP(MONTH(E5),Inputs!$D$66:$D$71,1,0)),"",INDEX(Inputs!$B$66:$B$71,MATCH(MONTH(Output!E5),Inputs!$D$66:$D$71,0))-INDEX(Inputs!$C$66:$C$71,MATCH(MONTH(Output!E5),Inputs!$D$66:$D$71,0)))</f>
        <v>-25000</v>
      </c>
      <c r="F7" s="80">
        <f>IF(ISERROR(VLOOKUP(MONTH(F5),Inputs!$D$66:$D$71,1,0)),"",INDEX(Inputs!$B$66:$B$71,MATCH(MONTH(Output!F5),Inputs!$D$66:$D$71,0))-INDEX(Inputs!$C$66:$C$71,MATCH(MONTH(Output!F5),Inputs!$D$66:$D$71,0)))</f>
        <v>-13300</v>
      </c>
      <c r="G7" s="80">
        <f>IF(ISERROR(VLOOKUP(MONTH(G5),Inputs!$D$66:$D$71,1,0)),"",INDEX(Inputs!$B$66:$B$71,MATCH(MONTH(Output!G5),Inputs!$D$66:$D$71,0))-INDEX(Inputs!$C$66:$C$71,MATCH(MONTH(Output!G5),Inputs!$D$66:$D$71,0)))</f>
        <v>-15000</v>
      </c>
      <c r="H7" s="80">
        <f>IF(ISERROR(VLOOKUP(MONTH(H5),Inputs!$D$66:$D$71,1,0)),"",INDEX(Inputs!$B$66:$B$71,MATCH(MONTH(Output!H5),Inputs!$D$66:$D$71,0))-INDEX(Inputs!$C$66:$C$71,MATCH(MONTH(Output!H5),Inputs!$D$66:$D$71,0)))</f>
        <v>450000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15000</v>
      </c>
      <c r="P7" s="80">
        <f>IF(ISERROR(VLOOKUP(MONTH(P5),Inputs!$D$66:$D$71,1,0)),"",INDEX(Inputs!$B$66:$B$71,MATCH(MONTH(Output!P5),Inputs!$D$66:$D$71,0))-INDEX(Inputs!$C$66:$C$71,MATCH(MONTH(Output!P5),Inputs!$D$66:$D$71,0)))</f>
        <v>-17000</v>
      </c>
      <c r="Q7" s="80">
        <f>IF(ISERROR(VLOOKUP(MONTH(Q5),Inputs!$D$66:$D$71,1,0)),"",INDEX(Inputs!$B$66:$B$71,MATCH(MONTH(Output!Q5),Inputs!$D$66:$D$71,0))-INDEX(Inputs!$C$66:$C$71,MATCH(MONTH(Output!Q5),Inputs!$D$66:$D$71,0)))</f>
        <v>-25000</v>
      </c>
      <c r="R7" s="80">
        <f>IF(ISERROR(VLOOKUP(MONTH(R5),Inputs!$D$66:$D$71,1,0)),"",INDEX(Inputs!$B$66:$B$71,MATCH(MONTH(Output!R5),Inputs!$D$66:$D$71,0))-INDEX(Inputs!$C$66:$C$71,MATCH(MONTH(Output!R5),Inputs!$D$66:$D$71,0)))</f>
        <v>-13300</v>
      </c>
      <c r="S7" s="80">
        <f>IF(ISERROR(VLOOKUP(MONTH(S5),Inputs!$D$66:$D$71,1,0)),"",INDEX(Inputs!$B$66:$B$71,MATCH(MONTH(Output!S5),Inputs!$D$66:$D$71,0))-INDEX(Inputs!$C$66:$C$71,MATCH(MONTH(Output!S5),Inputs!$D$66:$D$71,0)))</f>
        <v>-15000</v>
      </c>
      <c r="T7" s="80">
        <f>IF(ISERROR(VLOOKUP(MONTH(T5),Inputs!$D$66:$D$71,1,0)),"",INDEX(Inputs!$B$66:$B$71,MATCH(MONTH(Output!T5),Inputs!$D$66:$D$71,0))-INDEX(Inputs!$C$66:$C$71,MATCH(MONTH(Output!T5),Inputs!$D$66:$D$71,0)))</f>
        <v>450000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304055.4890335448</v>
      </c>
      <c r="C11" s="80">
        <f>C6+C9-C10</f>
        <v>-68139.65382359808</v>
      </c>
      <c r="D11" s="80">
        <f>D6+D9-D10</f>
        <v>-56321.65382359808</v>
      </c>
      <c r="E11" s="80">
        <f>E6+E9-E10</f>
        <v>-68321.65382359808</v>
      </c>
      <c r="F11" s="80">
        <f>F6+F9-F10</f>
        <v>-56321.65382359808</v>
      </c>
      <c r="G11" s="80">
        <f>G6+G9-G10</f>
        <v>-747.0920387562801</v>
      </c>
      <c r="H11" s="80">
        <f>H6+H9-H10</f>
        <v>-38561.65382359808</v>
      </c>
      <c r="I11" s="80">
        <f>I6+I9-I10</f>
        <v>-57955.85128382844</v>
      </c>
      <c r="J11" s="80">
        <f>J6+J9-J10</f>
        <v>-11139.09425066899</v>
      </c>
      <c r="K11" s="80">
        <f>K6+K9-K10</f>
        <v>-17711.52479803795</v>
      </c>
      <c r="L11" s="80">
        <f>L6+L9-L10</f>
        <v>-43704.51096645523</v>
      </c>
      <c r="M11" s="80">
        <f>M6+M9-M10</f>
        <v>11870.05081838657</v>
      </c>
      <c r="N11" s="80">
        <f>N6+N9-N10</f>
        <v>-25944.51096645523</v>
      </c>
      <c r="O11" s="80">
        <f>O6+O9-O10</f>
        <v>-38139.65382359808</v>
      </c>
      <c r="P11" s="80">
        <f>P6+P9-P10</f>
        <v>-26321.65382359808</v>
      </c>
      <c r="Q11" s="80">
        <f>Q6+Q9-Q10</f>
        <v>-38321.65382359808</v>
      </c>
      <c r="R11" s="80">
        <f>R6+R9-R10</f>
        <v>-26321.65382359808</v>
      </c>
      <c r="S11" s="80">
        <f>S6+S9-S10</f>
        <v>29252.90796124372</v>
      </c>
      <c r="T11" s="80">
        <f>T6+T9-T10</f>
        <v>-8561.653823598081</v>
      </c>
      <c r="U11" s="80">
        <f>U6+U9-U10</f>
        <v>-27955.85128382843</v>
      </c>
      <c r="V11" s="80">
        <f>V6+V9-V10</f>
        <v>18860.90574933101</v>
      </c>
      <c r="W11" s="80">
        <f>W6+W9-W10</f>
        <v>12288.47520196205</v>
      </c>
      <c r="X11" s="80">
        <f>X6+X9-X10</f>
        <v>-13704.51096645523</v>
      </c>
      <c r="Y11" s="80">
        <f>Y6+Y9-Y10</f>
        <v>41870.05081838657</v>
      </c>
      <c r="Z11" s="85">
        <f>SUMIF($B$13:$Y$13,"Yes",B11:Y11)</f>
        <v>-128943.3135702612</v>
      </c>
      <c r="AA11" s="80">
        <f>SUM(B11:M11)</f>
        <v>-102998.8026038059</v>
      </c>
      <c r="AB11" s="46">
        <f>SUM(B11:Y11)</f>
        <v>-205997.6052076119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0.1128176514058078</v>
      </c>
      <c r="D12" s="82">
        <f>IF(D13="Yes",IF(SUM($B$10:D10)/(SUM($B$6:D6)+SUM($B$9:D9))&lt;0,999.99,SUM($B$10:D10)/(SUM($B$6:D6)+SUM($B$9:D9))),"")</f>
        <v>0.2504234437281649</v>
      </c>
      <c r="E12" s="82">
        <f>IF(E13="Yes",IF(SUM($B$10:E10)/(SUM($B$6:E6)+SUM($B$9:E9))&lt;0,999.99,SUM($B$10:E10)/(SUM($B$6:E6)+SUM($B$9:E9))),"")</f>
        <v>0.4471549152277665</v>
      </c>
      <c r="F12" s="82">
        <f>IF(F13="Yes",IF(SUM($B$10:F10)/(SUM($B$6:F6)+SUM($B$9:F9))&lt;0,999.99,SUM($B$10:F10)/(SUM($B$6:F6)+SUM($B$9:F9))),"")</f>
        <v>0.685906834503251</v>
      </c>
      <c r="G12" s="82">
        <f>IF(G13="Yes",IF(SUM($B$10:G10)/(SUM($B$6:G6)+SUM($B$9:G9))&lt;0,999.99,SUM($B$10:G10)/(SUM($B$6:G6)+SUM($B$9:G9))),"")</f>
        <v>0.7345603433538616</v>
      </c>
      <c r="H12" s="82">
        <f>IF(H13="Yes",IF(SUM($B$10:H10)/(SUM($B$6:H6)+SUM($B$9:H9))&lt;0,999.99,SUM($B$10:H10)/(SUM($B$6:H6)+SUM($B$9:H9))),"")</f>
        <v>0.9200472411205401</v>
      </c>
      <c r="I12" s="82">
        <f>IF(I13="Yes",IF(SUM($B$10:I10)/(SUM($B$6:I6)+SUM($B$9:I9))&lt;0,999.99,SUM($B$10:I10)/(SUM($B$6:I6)+SUM($B$9:I9))),"")</f>
        <v>1.252338618679809</v>
      </c>
      <c r="J12" s="82">
        <f>IF(J13="Yes",IF(SUM($B$10:J10)/(SUM($B$6:J6)+SUM($B$9:J9))&lt;0,999.99,SUM($B$10:J10)/(SUM($B$6:J6)+SUM($B$9:J9))),"")</f>
        <v>1.286537791600718</v>
      </c>
      <c r="K12" s="82">
        <f>IF(K13="Yes",IF(SUM($B$10:K10)/(SUM($B$6:K6)+SUM($B$9:K9))&lt;0,999.99,SUM($B$10:K10)/(SUM($B$6:K6)+SUM($B$9:K9))),"")</f>
        <v>1.357905334157157</v>
      </c>
      <c r="L12" s="82">
        <f>IF(L13="Yes",IF(SUM($B$10:L10)/(SUM($B$6:L6)+SUM($B$9:L9))&lt;0,999.99,SUM($B$10:L10)/(SUM($B$6:L6)+SUM($B$9:L9))),"")</f>
        <v>1.620472867724152</v>
      </c>
      <c r="M12" s="82">
        <f>IF(M13="Yes",IF(SUM($B$10:M10)/(SUM($B$6:M6)+SUM($B$9:M9))&lt;0,999.99,SUM($B$10:M10)/(SUM($B$6:M6)+SUM($B$9:M9))),"")</f>
        <v>1.453736825114795</v>
      </c>
      <c r="N12" s="82">
        <f>IF(N13="Yes",IF(SUM($B$10:N10)/(SUM($B$6:N6)+SUM($B$9:N9))&lt;0,999.99,SUM($B$10:N10)/(SUM($B$6:N6)+SUM($B$9:N9))),"")</f>
        <v>1.558059217253906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27137.8472631552</v>
      </c>
      <c r="J18" s="36">
        <f>V18</f>
        <v>32565.41671578623</v>
      </c>
      <c r="K18" s="36">
        <f>W18</f>
        <v>37992.98616841727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27137.8472631552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32565.41671578623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37992.98616841727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97696.25014735869</v>
      </c>
      <c r="AA18" s="36">
        <f>SUM(B18:M18)</f>
        <v>97696.25014735869</v>
      </c>
      <c r="AB18" s="36">
        <f>SUM(B18:Y18)</f>
        <v>195392.5002947174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55574.5617848418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55574.5617848418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55574.5617848418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55574.5617848418</v>
      </c>
      <c r="Z19" s="36">
        <f>SUMIF($B$13:$Y$13,"Yes",B19:Y19)</f>
        <v>111149.1235696836</v>
      </c>
      <c r="AA19" s="36">
        <f>SUM(B19:M19)</f>
        <v>111149.1235696836</v>
      </c>
      <c r="AB19" s="36">
        <f>SUM(B19:Y19)</f>
        <v>222298.2471393672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55574.5617848418</v>
      </c>
      <c r="H30" s="19">
        <f>SUM(H18:H29)</f>
        <v>0</v>
      </c>
      <c r="I30" s="19">
        <f>SUM(I18:I29)</f>
        <v>27137.8472631552</v>
      </c>
      <c r="J30" s="19">
        <f>SUM(J18:J29)</f>
        <v>32565.41671578623</v>
      </c>
      <c r="K30" s="19">
        <f>SUM(K18:K29)</f>
        <v>37992.98616841727</v>
      </c>
      <c r="L30" s="19">
        <f>SUM(L18:L29)</f>
        <v>0</v>
      </c>
      <c r="M30" s="19">
        <f>SUM(M18:M29)</f>
        <v>55574.5617848418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55574.5617848418</v>
      </c>
      <c r="T30" s="19">
        <f>SUM(T18:T29)</f>
        <v>0</v>
      </c>
      <c r="U30" s="19">
        <f>SUM(U18:U29)</f>
        <v>27137.8472631552</v>
      </c>
      <c r="V30" s="19">
        <f>SUM(V18:V29)</f>
        <v>32565.41671578623</v>
      </c>
      <c r="W30" s="19">
        <f>SUM(W18:W29)</f>
        <v>37992.98616841727</v>
      </c>
      <c r="X30" s="19">
        <f>SUM(X18:X29)</f>
        <v>0</v>
      </c>
      <c r="Y30" s="19">
        <f>SUM(Y18:Y29)</f>
        <v>55574.5617848418</v>
      </c>
      <c r="Z30" s="19">
        <f>SUMIF($B$13:$Y$13,"Yes",B30:Y30)</f>
        <v>208845.3737170423</v>
      </c>
      <c r="AA30" s="19">
        <f>SUM(B30:M30)</f>
        <v>208845.3737170423</v>
      </c>
      <c r="AB30" s="19">
        <f>SUM(B30:Y30)</f>
        <v>417690.7474340847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11818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10000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11818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10000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21818</v>
      </c>
      <c r="AA42" s="36">
        <f>SUM(B42:M42)</f>
        <v>21818</v>
      </c>
      <c r="AB42" s="36">
        <f>SUM(B42:Y42)</f>
        <v>43636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1818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1818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1818</v>
      </c>
      <c r="AA43" s="36">
        <f>SUM(B43:M43)</f>
        <v>1818</v>
      </c>
      <c r="AB43" s="36">
        <f>SUM(B43:Y43)</f>
        <v>3636.000000000001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10000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10000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10000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10000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20000</v>
      </c>
      <c r="AA44" s="36">
        <f>SUM(B44:M44)</f>
        <v>20000</v>
      </c>
      <c r="AB44" s="36">
        <f>SUM(B44:Y44)</f>
        <v>40000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12000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12000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12000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12000</v>
      </c>
      <c r="X48" s="46">
        <f>SUM(X49:X53)</f>
        <v>0</v>
      </c>
      <c r="Y48" s="46">
        <f>SUM(Y49:Y53)</f>
        <v>0</v>
      </c>
      <c r="Z48" s="46">
        <f>SUMIF($B$13:$Y$13,"Yes",B48:Y48)</f>
        <v>24000</v>
      </c>
      <c r="AA48" s="46">
        <f>SUM(B48:M48)</f>
        <v>24000</v>
      </c>
      <c r="AB48" s="46">
        <f>SUM(B48:Y48)</f>
        <v>48000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12000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12000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12000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12000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24000</v>
      </c>
      <c r="AA50" s="46">
        <f>SUM(B50:M50)</f>
        <v>24000</v>
      </c>
      <c r="AB50" s="46">
        <f>SUM(B50:Y50)</f>
        <v>48000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18772.04472338554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18772.04472338554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18772.04472338554</v>
      </c>
      <c r="AA54" s="46">
        <f>SUM(B54:M54)</f>
        <v>18772.04472338554</v>
      </c>
      <c r="AB54" s="46">
        <f>SUM(B54:Y54)</f>
        <v>37544.08944677109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18772.04472338554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18772.04472338554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18772.04472338554</v>
      </c>
      <c r="AA55" s="46">
        <f>SUM(B55:M55)</f>
        <v>18772.04472338554</v>
      </c>
      <c r="AB55" s="46">
        <f>SUM(B55:Y55)</f>
        <v>37544.08944677109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9085.714285714286</v>
      </c>
      <c r="D60" s="36">
        <f>P60</f>
        <v>9085.714285714286</v>
      </c>
      <c r="E60" s="36">
        <f>Q60</f>
        <v>9085.714285714286</v>
      </c>
      <c r="F60" s="36">
        <f>R60</f>
        <v>9085.714285714286</v>
      </c>
      <c r="G60" s="36">
        <f>S60</f>
        <v>9085.714285714286</v>
      </c>
      <c r="H60" s="36">
        <f>T60</f>
        <v>4285.714285714285</v>
      </c>
      <c r="I60" s="36">
        <f>U60</f>
        <v>9085.714285714286</v>
      </c>
      <c r="J60" s="36">
        <f>V60</f>
        <v>4800</v>
      </c>
      <c r="K60" s="36">
        <f>W60</f>
        <v>4800</v>
      </c>
      <c r="L60" s="36">
        <f>X60</f>
        <v>4800</v>
      </c>
      <c r="M60" s="36">
        <f>Y60</f>
        <v>4800</v>
      </c>
      <c r="N60" s="46">
        <f>SUM(N61:N65)</f>
        <v>0</v>
      </c>
      <c r="O60" s="46">
        <f>SUM(O61:O65)</f>
        <v>9085.714285714286</v>
      </c>
      <c r="P60" s="46">
        <f>SUM(P61:P65)</f>
        <v>9085.714285714286</v>
      </c>
      <c r="Q60" s="46">
        <f>SUM(Q61:Q65)</f>
        <v>9085.714285714286</v>
      </c>
      <c r="R60" s="46">
        <f>SUM(R61:R65)</f>
        <v>9085.714285714286</v>
      </c>
      <c r="S60" s="46">
        <f>SUM(S61:S65)</f>
        <v>9085.714285714286</v>
      </c>
      <c r="T60" s="46">
        <f>SUM(T61:T65)</f>
        <v>4285.714285714285</v>
      </c>
      <c r="U60" s="46">
        <f>SUM(U61:U65)</f>
        <v>9085.714285714286</v>
      </c>
      <c r="V60" s="46">
        <f>SUM(V61:V65)</f>
        <v>4800</v>
      </c>
      <c r="W60" s="46">
        <f>SUM(W61:W65)</f>
        <v>4800</v>
      </c>
      <c r="X60" s="46">
        <f>SUM(X61:X65)</f>
        <v>4800</v>
      </c>
      <c r="Y60" s="46">
        <f>SUM(Y61:Y65)</f>
        <v>4800</v>
      </c>
      <c r="Z60" s="46">
        <f>SUMIF($B$13:$Y$13,"Yes",B60:Y60)</f>
        <v>78000</v>
      </c>
      <c r="AA60" s="46">
        <f>SUM(B60:M60)</f>
        <v>78000</v>
      </c>
      <c r="AB60" s="46">
        <f>SUM(B60:Y60)</f>
        <v>156000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4285.714285714285</v>
      </c>
      <c r="D61" s="36">
        <f>P61</f>
        <v>4285.714285714285</v>
      </c>
      <c r="E61" s="36">
        <f>Q61</f>
        <v>4285.714285714285</v>
      </c>
      <c r="F61" s="36">
        <f>R61</f>
        <v>4285.714285714285</v>
      </c>
      <c r="G61" s="36">
        <f>S61</f>
        <v>4285.714285714285</v>
      </c>
      <c r="H61" s="36">
        <f>T61</f>
        <v>4285.714285714285</v>
      </c>
      <c r="I61" s="36">
        <f>U61</f>
        <v>4285.714285714285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4285.714285714285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4285.714285714285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4285.714285714285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4285.714285714285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4285.714285714285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4285.714285714285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4285.714285714285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30000</v>
      </c>
      <c r="AA61" s="46">
        <f>SUM(B61:M61)</f>
        <v>30000</v>
      </c>
      <c r="AB61" s="46">
        <f>SUM(B61:Y61)</f>
        <v>59999.99999999998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4800</v>
      </c>
      <c r="D62" s="36">
        <f>P62</f>
        <v>4800</v>
      </c>
      <c r="E62" s="36">
        <f>Q62</f>
        <v>4800</v>
      </c>
      <c r="F62" s="36">
        <f>R62</f>
        <v>4800</v>
      </c>
      <c r="G62" s="36">
        <f>S62</f>
        <v>4800</v>
      </c>
      <c r="H62" s="36">
        <f>T62</f>
        <v>0</v>
      </c>
      <c r="I62" s="36">
        <f>U62</f>
        <v>4800</v>
      </c>
      <c r="J62" s="36">
        <f>V62</f>
        <v>4800</v>
      </c>
      <c r="K62" s="36">
        <f>W62</f>
        <v>4800</v>
      </c>
      <c r="L62" s="36">
        <f>X62</f>
        <v>4800</v>
      </c>
      <c r="M62" s="36">
        <f>Y62</f>
        <v>4800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4800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4800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4800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4800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4800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4800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4800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4800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4800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4800</v>
      </c>
      <c r="Z62" s="46">
        <f>SUMIF($B$13:$Y$13,"Yes",B62:Y62)</f>
        <v>48000</v>
      </c>
      <c r="AA62" s="46">
        <f>SUM(B62:M62)</f>
        <v>48000</v>
      </c>
      <c r="AB62" s="46">
        <f>SUM(B62:Y62)</f>
        <v>96000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21291.42857142857</v>
      </c>
      <c r="D66" s="36">
        <f>P66</f>
        <v>21291.42857142857</v>
      </c>
      <c r="E66" s="36">
        <f>Q66</f>
        <v>21291.42857142857</v>
      </c>
      <c r="F66" s="36">
        <f>R66</f>
        <v>21291.42857142857</v>
      </c>
      <c r="G66" s="36">
        <f>S66</f>
        <v>21291.42857142857</v>
      </c>
      <c r="H66" s="36">
        <f>T66</f>
        <v>8331.428571428571</v>
      </c>
      <c r="I66" s="36">
        <f>U66</f>
        <v>21291.42857142857</v>
      </c>
      <c r="J66" s="36">
        <f>V66</f>
        <v>12960</v>
      </c>
      <c r="K66" s="36">
        <f>W66</f>
        <v>12960</v>
      </c>
      <c r="L66" s="36">
        <f>X66</f>
        <v>12960</v>
      </c>
      <c r="M66" s="36">
        <f>Y66</f>
        <v>12960</v>
      </c>
      <c r="N66" s="46">
        <f>SUM(N67:N71)</f>
        <v>0</v>
      </c>
      <c r="O66" s="46">
        <f>SUM(O67:O71)</f>
        <v>21291.42857142857</v>
      </c>
      <c r="P66" s="46">
        <f>SUM(P67:P71)</f>
        <v>21291.42857142857</v>
      </c>
      <c r="Q66" s="46">
        <f>SUM(Q67:Q71)</f>
        <v>21291.42857142857</v>
      </c>
      <c r="R66" s="46">
        <f>SUM(R67:R71)</f>
        <v>21291.42857142857</v>
      </c>
      <c r="S66" s="46">
        <f>SUM(S67:S71)</f>
        <v>21291.42857142857</v>
      </c>
      <c r="T66" s="46">
        <f>SUM(T67:T71)</f>
        <v>8331.428571428571</v>
      </c>
      <c r="U66" s="46">
        <f>SUM(U67:U71)</f>
        <v>21291.42857142857</v>
      </c>
      <c r="V66" s="46">
        <f>SUM(V67:V71)</f>
        <v>12960</v>
      </c>
      <c r="W66" s="46">
        <f>SUM(W67:W71)</f>
        <v>12960</v>
      </c>
      <c r="X66" s="46">
        <f>SUM(X67:X71)</f>
        <v>12960</v>
      </c>
      <c r="Y66" s="46">
        <f>SUM(Y67:Y71)</f>
        <v>12960</v>
      </c>
      <c r="Z66" s="46">
        <f>SUMIF($B$13:$Y$13,"Yes",B66:Y66)</f>
        <v>187920</v>
      </c>
      <c r="AA66" s="46">
        <f>SUM(B66:M66)</f>
        <v>187920</v>
      </c>
      <c r="AB66" s="46">
        <f>SUM(B66:Y66)</f>
        <v>375840.0000000001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8331.428571428571</v>
      </c>
      <c r="D67" s="36">
        <f>P67</f>
        <v>8331.428571428571</v>
      </c>
      <c r="E67" s="36">
        <f>Q67</f>
        <v>8331.428571428571</v>
      </c>
      <c r="F67" s="36">
        <f>R67</f>
        <v>8331.428571428571</v>
      </c>
      <c r="G67" s="36">
        <f>S67</f>
        <v>8331.428571428571</v>
      </c>
      <c r="H67" s="36">
        <f>T67</f>
        <v>8331.428571428571</v>
      </c>
      <c r="I67" s="36">
        <f>U67</f>
        <v>8331.428571428571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8331.428571428571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8331.428571428571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8331.428571428571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8331.428571428571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8331.428571428571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8331.428571428571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8331.428571428571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58320</v>
      </c>
      <c r="AA67" s="46">
        <f>SUM(B67:M67)</f>
        <v>58320</v>
      </c>
      <c r="AB67" s="46">
        <f>SUM(B67:Y67)</f>
        <v>116640</v>
      </c>
    </row>
    <row r="68" spans="1:30" hidden="true" outlineLevel="1">
      <c r="A68" s="181" t="str">
        <f>Calculations!$A$5</f>
        <v>Beans</v>
      </c>
      <c r="B68" s="36">
        <f>N68</f>
        <v>0</v>
      </c>
      <c r="C68" s="36">
        <f>O68</f>
        <v>12960</v>
      </c>
      <c r="D68" s="36">
        <f>P68</f>
        <v>12960</v>
      </c>
      <c r="E68" s="36">
        <f>Q68</f>
        <v>12960</v>
      </c>
      <c r="F68" s="36">
        <f>R68</f>
        <v>12960</v>
      </c>
      <c r="G68" s="36">
        <f>S68</f>
        <v>12960</v>
      </c>
      <c r="H68" s="36">
        <f>T68</f>
        <v>0</v>
      </c>
      <c r="I68" s="36">
        <f>U68</f>
        <v>12960</v>
      </c>
      <c r="J68" s="36">
        <f>V68</f>
        <v>12960</v>
      </c>
      <c r="K68" s="36">
        <f>W68</f>
        <v>12960</v>
      </c>
      <c r="L68" s="36">
        <f>X68</f>
        <v>12960</v>
      </c>
      <c r="M68" s="36">
        <f>Y68</f>
        <v>12960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12960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12960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12960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12960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12960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12960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12960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12960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12960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12960</v>
      </c>
      <c r="Z68" s="46">
        <f>SUMIF($B$13:$Y$13,"Yes",B68:Y68)</f>
        <v>129600</v>
      </c>
      <c r="AA68" s="46">
        <f>SUM(B68:M68)</f>
        <v>129600</v>
      </c>
      <c r="AB68" s="46">
        <f>SUM(B68:Y68)</f>
        <v>259200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-4055.489033544775</v>
      </c>
      <c r="C81" s="46">
        <f>(SUM($AA$18:$AA$29)-SUM($AA$36,$AA$42,$AA$48,$AA$54,$AA$60,$AA$66,$AA$72:$AA$79))*Parameters!$B$37/12</f>
        <v>-4055.489033544775</v>
      </c>
      <c r="D81" s="46">
        <f>(SUM($AA$18:$AA$29)-SUM($AA$36,$AA$42,$AA$48,$AA$54,$AA$60,$AA$66,$AA$72:$AA$79))*Parameters!$B$37/12</f>
        <v>-4055.489033544775</v>
      </c>
      <c r="E81" s="46">
        <f>(SUM($AA$18:$AA$29)-SUM($AA$36,$AA$42,$AA$48,$AA$54,$AA$60,$AA$66,$AA$72:$AA$79))*Parameters!$B$37/12</f>
        <v>-4055.489033544775</v>
      </c>
      <c r="F81" s="46">
        <f>(SUM($AA$18:$AA$29)-SUM($AA$36,$AA$42,$AA$48,$AA$54,$AA$60,$AA$66,$AA$72:$AA$79))*Parameters!$B$37/12</f>
        <v>-4055.489033544775</v>
      </c>
      <c r="G81" s="46">
        <f>(SUM($AA$18:$AA$29)-SUM($AA$36,$AA$42,$AA$48,$AA$54,$AA$60,$AA$66,$AA$72:$AA$79))*Parameters!$B$37/12</f>
        <v>-4055.489033544775</v>
      </c>
      <c r="H81" s="46">
        <f>(SUM($AA$18:$AA$29)-SUM($AA$36,$AA$42,$AA$48,$AA$54,$AA$60,$AA$66,$AA$72:$AA$79))*Parameters!$B$37/12</f>
        <v>-4055.489033544775</v>
      </c>
      <c r="I81" s="46">
        <f>(SUM($AA$18:$AA$29)-SUM($AA$36,$AA$42,$AA$48,$AA$54,$AA$60,$AA$66,$AA$72:$AA$79))*Parameters!$B$37/12</f>
        <v>-4055.489033544775</v>
      </c>
      <c r="J81" s="46">
        <f>(SUM($AA$18:$AA$29)-SUM($AA$36,$AA$42,$AA$48,$AA$54,$AA$60,$AA$66,$AA$72:$AA$79))*Parameters!$B$37/12</f>
        <v>-4055.489033544775</v>
      </c>
      <c r="K81" s="46">
        <f>(SUM($AA$18:$AA$29)-SUM($AA$36,$AA$42,$AA$48,$AA$54,$AA$60,$AA$66,$AA$72:$AA$79))*Parameters!$B$37/12</f>
        <v>-4055.489033544775</v>
      </c>
      <c r="L81" s="46">
        <f>(SUM($AA$18:$AA$29)-SUM($AA$36,$AA$42,$AA$48,$AA$54,$AA$60,$AA$66,$AA$72:$AA$79))*Parameters!$B$37/12</f>
        <v>-4055.489033544775</v>
      </c>
      <c r="M81" s="46">
        <f>(SUM($AA$18:$AA$29)-SUM($AA$36,$AA$42,$AA$48,$AA$54,$AA$60,$AA$66,$AA$72:$AA$79))*Parameters!$B$37/12</f>
        <v>-4055.489033544775</v>
      </c>
      <c r="N81" s="46">
        <f>(SUM($AA$18:$AA$29)-SUM($AA$36,$AA$42,$AA$48,$AA$54,$AA$60,$AA$66,$AA$72:$AA$79))*Parameters!$B$37/12</f>
        <v>-4055.489033544775</v>
      </c>
      <c r="O81" s="46">
        <f>(SUM($AA$18:$AA$29)-SUM($AA$36,$AA$42,$AA$48,$AA$54,$AA$60,$AA$66,$AA$72:$AA$79))*Parameters!$B$37/12</f>
        <v>-4055.489033544775</v>
      </c>
      <c r="P81" s="46">
        <f>(SUM($AA$18:$AA$29)-SUM($AA$36,$AA$42,$AA$48,$AA$54,$AA$60,$AA$66,$AA$72:$AA$79))*Parameters!$B$37/12</f>
        <v>-4055.489033544775</v>
      </c>
      <c r="Q81" s="46">
        <f>(SUM($AA$18:$AA$29)-SUM($AA$36,$AA$42,$AA$48,$AA$54,$AA$60,$AA$66,$AA$72:$AA$79))*Parameters!$B$37/12</f>
        <v>-4055.489033544775</v>
      </c>
      <c r="R81" s="46">
        <f>(SUM($AA$18:$AA$29)-SUM($AA$36,$AA$42,$AA$48,$AA$54,$AA$60,$AA$66,$AA$72:$AA$79))*Parameters!$B$37/12</f>
        <v>-4055.489033544775</v>
      </c>
      <c r="S81" s="46">
        <f>(SUM($AA$18:$AA$29)-SUM($AA$36,$AA$42,$AA$48,$AA$54,$AA$60,$AA$66,$AA$72:$AA$79))*Parameters!$B$37/12</f>
        <v>-4055.489033544775</v>
      </c>
      <c r="T81" s="46">
        <f>(SUM($AA$18:$AA$29)-SUM($AA$36,$AA$42,$AA$48,$AA$54,$AA$60,$AA$66,$AA$72:$AA$79))*Parameters!$B$37/12</f>
        <v>-4055.489033544775</v>
      </c>
      <c r="U81" s="46">
        <f>(SUM($AA$18:$AA$29)-SUM($AA$36,$AA$42,$AA$48,$AA$54,$AA$60,$AA$66,$AA$72:$AA$79))*Parameters!$B$37/12</f>
        <v>-4055.489033544775</v>
      </c>
      <c r="V81" s="46">
        <f>(SUM($AA$18:$AA$29)-SUM($AA$36,$AA$42,$AA$48,$AA$54,$AA$60,$AA$66,$AA$72:$AA$79))*Parameters!$B$37/12</f>
        <v>-4055.489033544775</v>
      </c>
      <c r="W81" s="46">
        <f>(SUM($AA$18:$AA$29)-SUM($AA$36,$AA$42,$AA$48,$AA$54,$AA$60,$AA$66,$AA$72:$AA$79))*Parameters!$B$37/12</f>
        <v>-4055.489033544775</v>
      </c>
      <c r="X81" s="46">
        <f>(SUM($AA$18:$AA$29)-SUM($AA$36,$AA$42,$AA$48,$AA$54,$AA$60,$AA$66,$AA$72:$AA$79))*Parameters!$B$37/12</f>
        <v>-4055.489033544775</v>
      </c>
      <c r="Y81" s="46">
        <f>(SUM($AA$18:$AA$29)-SUM($AA$36,$AA$42,$AA$48,$AA$54,$AA$60,$AA$66,$AA$72:$AA$79))*Parameters!$B$37/12</f>
        <v>-4055.489033544775</v>
      </c>
      <c r="Z81" s="46">
        <f>SUMIF($B$13:$Y$13,"Yes",B81:Y81)</f>
        <v>-52721.35743608209</v>
      </c>
      <c r="AA81" s="46">
        <f>SUM(B81:M81)</f>
        <v>-48665.86840253731</v>
      </c>
      <c r="AB81" s="46">
        <f>SUM(B81:Y81)</f>
        <v>-97331.73680507459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-4055.489033544775</v>
      </c>
      <c r="C88" s="19">
        <f>SUM(C72:C82,C66,C60,C54,C48,C42,C36)</f>
        <v>38139.65382359808</v>
      </c>
      <c r="D88" s="19">
        <f>SUM(D72:D82,D66,D60,D54,D48,D42,D36)</f>
        <v>26321.65382359808</v>
      </c>
      <c r="E88" s="19">
        <f>SUM(E72:E82,E66,E60,E54,E48,E42,E36)</f>
        <v>38321.65382359808</v>
      </c>
      <c r="F88" s="19">
        <f>SUM(F72:F82,F66,F60,F54,F48,F42,F36)</f>
        <v>26321.65382359808</v>
      </c>
      <c r="G88" s="19">
        <f>SUM(G72:G82,G66,G60,G54,G48,G42,G36)</f>
        <v>26321.65382359808</v>
      </c>
      <c r="H88" s="19">
        <f>SUM(H72:H82,H66,H60,H54,H48,H42,H36)</f>
        <v>8561.653823598081</v>
      </c>
      <c r="I88" s="19">
        <f>SUM(I72:I82,I66,I60,I54,I48,I42,I36)</f>
        <v>55093.69854698363</v>
      </c>
      <c r="J88" s="19">
        <f>SUM(J72:J82,J66,J60,J54,J48,J42,J36)</f>
        <v>13704.51096645523</v>
      </c>
      <c r="K88" s="19">
        <f>SUM(K72:K82,K66,K60,K54,K48,K42,K36)</f>
        <v>25704.51096645523</v>
      </c>
      <c r="L88" s="19">
        <f>SUM(L72:L82,L66,L60,L54,L48,L42,L36)</f>
        <v>13704.51096645523</v>
      </c>
      <c r="M88" s="19">
        <f>SUM(M72:M82,M66,M60,M54,M48,M42,M36)</f>
        <v>13704.51096645523</v>
      </c>
      <c r="N88" s="19">
        <f>SUM(N72:N82,N66,N60,N54,N48,N42,N36)</f>
        <v>-4055.489033544775</v>
      </c>
      <c r="O88" s="19">
        <f>SUM(O72:O82,O66,O60,O54,O48,O42,O36)</f>
        <v>38139.65382359808</v>
      </c>
      <c r="P88" s="19">
        <f>SUM(P72:P82,P66,P60,P54,P48,P42,P36)</f>
        <v>26321.65382359808</v>
      </c>
      <c r="Q88" s="19">
        <f>SUM(Q72:Q82,Q66,Q60,Q54,Q48,Q42,Q36)</f>
        <v>38321.65382359808</v>
      </c>
      <c r="R88" s="19">
        <f>SUM(R72:R82,R66,R60,R54,R48,R42,R36)</f>
        <v>26321.65382359808</v>
      </c>
      <c r="S88" s="19">
        <f>SUM(S72:S82,S66,S60,S54,S48,S42,S36)</f>
        <v>26321.65382359808</v>
      </c>
      <c r="T88" s="19">
        <f>SUM(T72:T82,T66,T60,T54,T48,T42,T36)</f>
        <v>8561.653823598081</v>
      </c>
      <c r="U88" s="19">
        <f>SUM(U72:U82,U66,U60,U54,U48,U42,U36)</f>
        <v>55093.69854698363</v>
      </c>
      <c r="V88" s="19">
        <f>SUM(V72:V82,V66,V60,V54,V48,V42,V36)</f>
        <v>13704.51096645523</v>
      </c>
      <c r="W88" s="19">
        <f>SUM(W72:W82,W66,W60,W54,W48,W42,W36)</f>
        <v>25704.51096645523</v>
      </c>
      <c r="X88" s="19">
        <f>SUM(X72:X82,X66,X60,X54,X48,X42,X36)</f>
        <v>13704.51096645523</v>
      </c>
      <c r="Y88" s="19">
        <f>SUM(Y72:Y82,Y66,Y60,Y54,Y48,Y42,Y36)</f>
        <v>13704.51096645523</v>
      </c>
      <c r="Z88" s="19">
        <f>SUMIF($B$13:$Y$13,"Yes",B88:Y88)</f>
        <v>277788.6872873034</v>
      </c>
      <c r="AA88" s="19">
        <f>SUM(B88:M88)</f>
        <v>281844.1763208482</v>
      </c>
      <c r="AB88" s="19">
        <f>SUM(B88:Y88)</f>
        <v>563688.3526416963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27000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3025000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1500000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5252000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316000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2</v>
      </c>
      <c r="P7" s="41"/>
    </row>
    <row r="8" spans="1:48">
      <c r="A8" s="143" t="s">
        <v>95</v>
      </c>
      <c r="B8" s="16"/>
      <c r="C8" s="143">
        <v>4</v>
      </c>
      <c r="D8" s="16"/>
      <c r="E8" s="147" t="s">
        <v>90</v>
      </c>
      <c r="F8" s="149" t="s">
        <v>91</v>
      </c>
      <c r="G8" s="147"/>
      <c r="H8" s="147" t="s">
        <v>96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97</v>
      </c>
      <c r="B9" s="16"/>
      <c r="C9" s="143">
        <v>4</v>
      </c>
      <c r="D9" s="16"/>
      <c r="E9" s="147" t="s">
        <v>90</v>
      </c>
      <c r="F9" s="149" t="s">
        <v>91</v>
      </c>
      <c r="G9" s="147"/>
      <c r="H9" s="147" t="s">
        <v>96</v>
      </c>
      <c r="I9" s="147" t="s">
        <v>93</v>
      </c>
      <c r="J9" s="148" t="s">
        <v>98</v>
      </c>
      <c r="K9" s="138"/>
      <c r="L9" s="16"/>
      <c r="M9" s="165">
        <v>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0</v>
      </c>
    </row>
    <row r="31" spans="1:48">
      <c r="A31" s="5" t="s">
        <v>118</v>
      </c>
      <c r="B31" s="158">
        <v>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96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/>
    </row>
    <row r="46" spans="1:48" customHeight="1" ht="30">
      <c r="A46" s="57" t="s">
        <v>132</v>
      </c>
      <c r="B46" s="161">
        <v>1500000</v>
      </c>
    </row>
    <row r="47" spans="1:48" customHeight="1" ht="30">
      <c r="A47" s="57" t="s">
        <v>133</v>
      </c>
      <c r="B47" s="161">
        <v>200000</v>
      </c>
    </row>
    <row r="48" spans="1:48" customHeight="1" ht="30">
      <c r="A48" s="57" t="s">
        <v>134</v>
      </c>
      <c r="B48" s="161">
        <v>500000</v>
      </c>
    </row>
    <row r="49" spans="1:48" customHeight="1" ht="30">
      <c r="A49" s="57" t="s">
        <v>135</v>
      </c>
      <c r="B49" s="161">
        <v>27000</v>
      </c>
    </row>
    <row r="50" spans="1:48">
      <c r="A50" s="43"/>
      <c r="B50" s="36"/>
    </row>
    <row r="51" spans="1:48">
      <c r="A51" s="58" t="s">
        <v>136</v>
      </c>
      <c r="B51" s="161">
        <v>16000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5000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150000</v>
      </c>
      <c r="B57" s="157">
        <v>0</v>
      </c>
      <c r="C57" s="164" t="s">
        <v>147</v>
      </c>
      <c r="D57" s="165" t="s">
        <v>148</v>
      </c>
      <c r="E57" s="165" t="s">
        <v>96</v>
      </c>
      <c r="F57" s="165" t="s">
        <v>149</v>
      </c>
    </row>
    <row r="58" spans="1:48">
      <c r="A58" s="157">
        <v>200000</v>
      </c>
      <c r="B58" s="157">
        <v>0</v>
      </c>
      <c r="C58" s="164" t="s">
        <v>150</v>
      </c>
      <c r="D58" s="165" t="s">
        <v>148</v>
      </c>
      <c r="E58" s="165" t="s">
        <v>96</v>
      </c>
      <c r="F58" s="165" t="s">
        <v>151</v>
      </c>
    </row>
    <row r="59" spans="1:48">
      <c r="A59" s="157">
        <v>10240</v>
      </c>
      <c r="B59" s="157">
        <v>0</v>
      </c>
      <c r="C59" s="164" t="s">
        <v>152</v>
      </c>
      <c r="D59" s="165" t="s">
        <v>153</v>
      </c>
      <c r="E59" s="165" t="s">
        <v>96</v>
      </c>
      <c r="F59" s="165" t="s">
        <v>149</v>
      </c>
    </row>
    <row r="60" spans="1:48">
      <c r="A60" s="158">
        <v>200000</v>
      </c>
      <c r="B60" s="158">
        <v>0</v>
      </c>
      <c r="C60" s="166" t="s">
        <v>154</v>
      </c>
      <c r="D60" s="167" t="s">
        <v>148</v>
      </c>
      <c r="E60" s="167" t="s">
        <v>92</v>
      </c>
      <c r="F60" s="167" t="s">
        <v>155</v>
      </c>
    </row>
    <row r="63" spans="1:48">
      <c r="A63" s="3" t="s">
        <v>156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157</v>
      </c>
      <c r="C65" s="10" t="s">
        <v>158</v>
      </c>
    </row>
    <row r="66" spans="1:48">
      <c r="A66" s="142" t="s">
        <v>94</v>
      </c>
      <c r="B66" s="159">
        <v>300000</v>
      </c>
      <c r="C66" s="163">
        <v>285000</v>
      </c>
      <c r="D66" s="49">
        <f>INDEX(Parameters!$D$79:$D$90,MATCH(Inputs!A66,Parameters!$C$79:$C$90,0))</f>
        <v>10</v>
      </c>
    </row>
    <row r="67" spans="1:48">
      <c r="A67" s="143" t="s">
        <v>159</v>
      </c>
      <c r="B67" s="157">
        <v>45000</v>
      </c>
      <c r="C67" s="165">
        <v>62000</v>
      </c>
      <c r="D67" s="49">
        <f>INDEX(Parameters!$D$79:$D$90,MATCH(Inputs!A67,Parameters!$C$79:$C$90,0))</f>
        <v>11</v>
      </c>
    </row>
    <row r="68" spans="1:48">
      <c r="A68" s="143" t="s">
        <v>160</v>
      </c>
      <c r="B68" s="157">
        <v>30000</v>
      </c>
      <c r="C68" s="165">
        <v>55000</v>
      </c>
      <c r="D68" s="49">
        <f>INDEX(Parameters!$D$79:$D$90,MATCH(Inputs!A68,Parameters!$C$79:$C$90,0))</f>
        <v>12</v>
      </c>
    </row>
    <row r="69" spans="1:48">
      <c r="A69" s="143" t="s">
        <v>98</v>
      </c>
      <c r="B69" s="157">
        <v>26700</v>
      </c>
      <c r="C69" s="165">
        <v>40000</v>
      </c>
      <c r="D69" s="49">
        <f>INDEX(Parameters!$D$79:$D$90,MATCH(Inputs!A69,Parameters!$C$79:$C$90,0))</f>
        <v>1</v>
      </c>
    </row>
    <row r="70" spans="1:48">
      <c r="A70" s="143" t="s">
        <v>161</v>
      </c>
      <c r="B70" s="157">
        <v>20000</v>
      </c>
      <c r="C70" s="165">
        <v>35000</v>
      </c>
      <c r="D70" s="49">
        <f>INDEX(Parameters!$D$79:$D$90,MATCH(Inputs!A70,Parameters!$C$79:$C$90,0))</f>
        <v>2</v>
      </c>
    </row>
    <row r="71" spans="1:48">
      <c r="A71" s="144" t="s">
        <v>162</v>
      </c>
      <c r="B71" s="158">
        <v>700000</v>
      </c>
      <c r="C71" s="167">
        <v>250000</v>
      </c>
      <c r="D71" s="49">
        <f>INDEX(Parameters!$D$79:$D$90,MATCH(Inputs!A71,Parameters!$C$79:$C$90,0))</f>
        <v>3</v>
      </c>
    </row>
    <row r="73" spans="1:48">
      <c r="A73" s="3" t="s">
        <v>163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164</v>
      </c>
      <c r="B75" s="161">
        <v>15</v>
      </c>
    </row>
    <row r="76" spans="1:48">
      <c r="A76" t="s">
        <v>165</v>
      </c>
      <c r="B76" s="168" t="s">
        <v>166</v>
      </c>
    </row>
    <row r="78" spans="1:48" customHeight="1" ht="20.25">
      <c r="B78" s="127" t="s">
        <v>167</v>
      </c>
    </row>
    <row r="79" spans="1:48">
      <c r="A79" t="s">
        <v>168</v>
      </c>
      <c r="B79" s="168" t="s">
        <v>166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169</v>
      </c>
      <c r="B80" s="168" t="s">
        <v>170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171</v>
      </c>
      <c r="B81" s="161">
        <v>300000</v>
      </c>
    </row>
    <row r="82" spans="1:48">
      <c r="A82" t="s">
        <v>172</v>
      </c>
      <c r="B82" s="161">
        <v>20</v>
      </c>
    </row>
    <row r="83" spans="1:48">
      <c r="A83" t="s">
        <v>173</v>
      </c>
      <c r="B83" s="169" t="s">
        <v>174</v>
      </c>
    </row>
    <row r="84" spans="1:48">
      <c r="A84" t="s">
        <v>175</v>
      </c>
      <c r="B84" s="169">
        <v>1</v>
      </c>
    </row>
    <row r="85" spans="1:48">
      <c r="A85" t="s">
        <v>176</v>
      </c>
      <c r="B85" s="169">
        <v>12</v>
      </c>
    </row>
    <row r="86" spans="1:48">
      <c r="A86" t="s">
        <v>177</v>
      </c>
      <c r="B86" s="161"/>
    </row>
    <row r="87" spans="1:48">
      <c r="A87" t="s">
        <v>178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179</v>
      </c>
      <c r="C3" s="15" t="s">
        <v>180</v>
      </c>
      <c r="D3" s="15" t="s">
        <v>181</v>
      </c>
      <c r="E3" s="15" t="s">
        <v>182</v>
      </c>
      <c r="F3" s="15" t="s">
        <v>183</v>
      </c>
      <c r="G3" s="15" t="s">
        <v>184</v>
      </c>
      <c r="H3" s="15" t="s">
        <v>185</v>
      </c>
      <c r="I3" s="15" t="s">
        <v>186</v>
      </c>
      <c r="J3" s="15" t="s">
        <v>187</v>
      </c>
      <c r="K3" s="15" t="s">
        <v>188</v>
      </c>
      <c r="L3" s="15" t="s">
        <v>189</v>
      </c>
      <c r="M3" s="15" t="s">
        <v>190</v>
      </c>
      <c r="N3" s="15" t="s">
        <v>191</v>
      </c>
      <c r="O3" s="15" t="s">
        <v>192</v>
      </c>
      <c r="P3" s="15" t="s">
        <v>193</v>
      </c>
      <c r="Q3" s="32" t="s">
        <v>194</v>
      </c>
      <c r="R3" s="15" t="s">
        <v>195</v>
      </c>
      <c r="S3" s="15" t="s">
        <v>196</v>
      </c>
      <c r="T3" s="15" t="s">
        <v>197</v>
      </c>
      <c r="U3" s="178" t="s">
        <v>87</v>
      </c>
      <c r="V3" s="32" t="s">
        <v>198</v>
      </c>
      <c r="W3" s="32" t="s">
        <v>199</v>
      </c>
      <c r="X3" s="32" t="s">
        <v>200</v>
      </c>
      <c r="Y3" s="32" t="s">
        <v>201</v>
      </c>
      <c r="Z3" s="32" t="s">
        <v>43</v>
      </c>
      <c r="AA3" s="32" t="s">
        <v>202</v>
      </c>
      <c r="AB3" s="32" t="s">
        <v>203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43101</v>
      </c>
      <c r="D4" s="38">
        <f>IFERROR(DATE(YEAR(B4),MONTH(B4)+T4,DAY(B4)),"")</f>
        <v>43191</v>
      </c>
      <c r="E4" s="38">
        <f>IFERROR(IF($S4=0,"",IF($S4=2,DATE(YEAR(B4),MONTH(B4)+6,DAY(B4)),IF($S4=1,B4,""))),"")</f>
        <v>43009</v>
      </c>
      <c r="F4" s="38">
        <f>IFERROR(IF($S4=0,"",IF($S4=2,DATE(YEAR(C4),MONTH(C4)+6,DAY(C4)),IF($S4=1,C4,""))),"")</f>
        <v>43101</v>
      </c>
      <c r="G4" s="38">
        <f>IFERROR(IF($S4=0,"",IF($S4=2,DATE(YEAR(D4),MONTH(D4)+6,DAY(D4)),IF($S4=1,D4,""))),"")</f>
        <v>43191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1360.293095897503</v>
      </c>
      <c r="M4" s="25">
        <f>L4*H4</f>
        <v>4080.87928769251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81413.54178946558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909.0000000000002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15000</v>
      </c>
      <c r="AA4" s="33">
        <f>IFERROR(IF(Inputs!N7&gt;0,INDEX(Parameters!$A$3:$AI$17,MATCH(Calculations!A4,Parameters!$A$3:$A$17,0),MATCH(Parameters!$R$3,Parameters!$A$3:$AI$3,0)),0)*M4/S4,0)</f>
        <v>9386.022361692772</v>
      </c>
      <c r="AB4" s="33">
        <f>H4*IFERROR(INDEX(Parameters!$A$3:$AI$17,MATCH(Calculations!A4,Parameters!$A$3:$A$17,0),MATCH(Parameters!$O$3,Parameters!$A$3:$AI$3,0)),AVERAGE(Parameters!$O$4:$O$17))*(1-Inputs!$B$25/100)</f>
        <v>32400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43009</v>
      </c>
      <c r="C5" s="39">
        <f>IFERROR(DATE(YEAR(B5),MONTH(B5)+ROUND(T5/2,0),DAY(B5)),B5)</f>
        <v>43070</v>
      </c>
      <c r="D5" s="39">
        <f>IFERROR(DATE(YEAR(B5),MONTH(B5)+T5,DAY(B5)),"")</f>
        <v>43132</v>
      </c>
      <c r="E5" s="39">
        <f>IFERROR(IF($S5=0,"",IF($S5=2,DATE(YEAR(B5),MONTH(B5)+6,DAY(B5)),IF($S5=1,B5,""))),"")</f>
        <v>43191</v>
      </c>
      <c r="F5" s="39">
        <f>IFERROR(IF($S5=0,"",IF($S5=2,DATE(YEAR(C5),MONTH(C5)+6,DAY(C5)),IF($S5=1,C5,""))),"")</f>
        <v>43252</v>
      </c>
      <c r="G5" s="39">
        <f>IFERROR(IF($S5=0,"",IF($S5=2,DATE(YEAR(D5),MONTH(D5)+6,DAY(D5)),IF($S5=1,D5,""))),"")</f>
        <v>43313</v>
      </c>
      <c r="H5" s="16">
        <f>Inputs!C8</f>
        <v>4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596.9340685804706</v>
      </c>
      <c r="M5" s="30">
        <f>L5*H5</f>
        <v>2387.736274321882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111149.1235696836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10000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12000</v>
      </c>
      <c r="Z5" s="34">
        <f>IF(Inputs!I8=Parameters!$F$78,H5*INDEX(Parameters!$A$3:$AI$18,MATCH(Calculations!A5,Parameters!$A$3:$A$18,0),MATCH(Parameters!$Q$3,Parameters!$A$3:$AI$3,0)),0)</f>
        <v>24000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72000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43101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4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24000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204</v>
      </c>
      <c r="D13" s="15" t="s">
        <v>205</v>
      </c>
      <c r="E13" s="15" t="s">
        <v>206</v>
      </c>
      <c r="F13" s="15" t="s">
        <v>207</v>
      </c>
      <c r="G13" s="15" t="s">
        <v>208</v>
      </c>
      <c r="H13" s="15" t="s">
        <v>209</v>
      </c>
      <c r="I13" s="15" t="s">
        <v>210</v>
      </c>
      <c r="J13" s="15" t="s">
        <v>211</v>
      </c>
      <c r="K13" s="15" t="s">
        <v>212</v>
      </c>
      <c r="L13" s="15" t="s">
        <v>213</v>
      </c>
      <c r="M13" s="178" t="s">
        <v>214</v>
      </c>
      <c r="N13" s="178" t="s">
        <v>215</v>
      </c>
      <c r="O13" s="62" t="s">
        <v>216</v>
      </c>
      <c r="P13" s="62" t="s">
        <v>217</v>
      </c>
      <c r="Q13" s="62" t="s">
        <v>218</v>
      </c>
      <c r="R13" s="62" t="s">
        <v>219</v>
      </c>
      <c r="S13" s="62" t="s">
        <v>220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221</v>
      </c>
      <c r="C22" s="74" t="s">
        <v>222</v>
      </c>
      <c r="D22" s="74" t="s">
        <v>223</v>
      </c>
      <c r="E22" s="74" t="s">
        <v>224</v>
      </c>
    </row>
    <row r="23" spans="1:52">
      <c r="A23" s="75">
        <f>Inputs!A56</f>
        <v>5000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150000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10240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200000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226</v>
      </c>
      <c r="B32" s="129" t="s">
        <v>227</v>
      </c>
      <c r="C32" s="129" t="s">
        <v>228</v>
      </c>
      <c r="D32" s="129" t="s">
        <v>229</v>
      </c>
      <c r="F32" s="132" t="s">
        <v>230</v>
      </c>
      <c r="G32" s="132" t="s">
        <v>231</v>
      </c>
      <c r="I32" s="174" t="s">
        <v>232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43035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43009</v>
      </c>
      <c r="F33" t="s">
        <v>168</v>
      </c>
      <c r="G33" s="128">
        <f>IF(Inputs!B79="","",DATE(YEAR(Inputs!B79),MONTH(Inputs!B79),DAY(Inputs!B79)))</f>
        <v>43005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43066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43040</v>
      </c>
      <c r="F34" t="s">
        <v>169</v>
      </c>
      <c r="G34" s="128">
        <f>IF(Inputs!B80="","",DATE(YEAR(Inputs!B80),MONTH(Inputs!B80),DAY(Inputs!B80)))</f>
        <v>43035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43096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43070</v>
      </c>
      <c r="F35" t="s">
        <v>171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43127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43101</v>
      </c>
      <c r="F36" t="s">
        <v>172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43158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43132</v>
      </c>
      <c r="F37" t="s">
        <v>233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43186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43160</v>
      </c>
      <c r="F38" t="s">
        <v>234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43217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43191</v>
      </c>
      <c r="F39" t="s">
        <v>177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43247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43221</v>
      </c>
      <c r="F40" t="s">
        <v>178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43278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43252</v>
      </c>
      <c r="F41" t="s">
        <v>235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43308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43282</v>
      </c>
      <c r="F42" t="s">
        <v>236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43339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43370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237</v>
      </c>
      <c r="C3" s="10" t="s">
        <v>238</v>
      </c>
      <c r="D3" s="10" t="s">
        <v>239</v>
      </c>
      <c r="E3" s="10" t="s">
        <v>240</v>
      </c>
      <c r="F3" s="10" t="s">
        <v>241</v>
      </c>
      <c r="G3" s="10" t="s">
        <v>242</v>
      </c>
      <c r="H3" s="10" t="s">
        <v>243</v>
      </c>
      <c r="I3" s="10" t="s">
        <v>244</v>
      </c>
      <c r="J3" s="10" t="s">
        <v>245</v>
      </c>
      <c r="K3" s="10" t="s">
        <v>246</v>
      </c>
      <c r="L3" s="10" t="s">
        <v>247</v>
      </c>
      <c r="M3" s="10" t="s">
        <v>248</v>
      </c>
      <c r="N3" s="10" t="s">
        <v>249</v>
      </c>
      <c r="O3" s="10" t="s">
        <v>250</v>
      </c>
      <c r="P3" s="10" t="s">
        <v>251</v>
      </c>
      <c r="Q3" s="10" t="s">
        <v>252</v>
      </c>
      <c r="R3" s="10" t="s">
        <v>253</v>
      </c>
      <c r="S3" s="10" t="s">
        <v>254</v>
      </c>
      <c r="T3" s="10" t="s">
        <v>255</v>
      </c>
      <c r="U3" s="10" t="s">
        <v>195</v>
      </c>
      <c r="V3" s="10" t="s">
        <v>193</v>
      </c>
      <c r="W3" s="10" t="s">
        <v>256</v>
      </c>
      <c r="X3" s="10" t="s">
        <v>257</v>
      </c>
      <c r="Y3" s="10" t="s">
        <v>258</v>
      </c>
      <c r="Z3" s="10" t="s">
        <v>259</v>
      </c>
      <c r="AA3" s="10" t="s">
        <v>260</v>
      </c>
      <c r="AB3" s="10" t="s">
        <v>261</v>
      </c>
      <c r="AC3" s="10" t="s">
        <v>262</v>
      </c>
      <c r="AD3" s="10" t="s">
        <v>263</v>
      </c>
      <c r="AE3" s="10" t="s">
        <v>264</v>
      </c>
      <c r="AF3" s="10" t="s">
        <v>265</v>
      </c>
      <c r="AG3" s="10" t="s">
        <v>266</v>
      </c>
      <c r="AH3" s="10" t="s">
        <v>267</v>
      </c>
      <c r="AI3" s="10" t="s">
        <v>268</v>
      </c>
    </row>
    <row r="4" spans="1:36" s="93" customFormat="1">
      <c r="A4" s="93" t="s">
        <v>269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209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299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271</v>
      </c>
      <c r="D24" s="115" t="s">
        <v>271</v>
      </c>
      <c r="E24" s="106">
        <v>0.05</v>
      </c>
      <c r="F24" s="106">
        <v>0.1</v>
      </c>
      <c r="G24" s="106">
        <v>0.2</v>
      </c>
      <c r="H24" s="116" t="s">
        <v>271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304</v>
      </c>
      <c r="B25" s="16" t="s">
        <v>305</v>
      </c>
      <c r="C25" s="30" t="s">
        <v>306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271</v>
      </c>
      <c r="J25" s="72" t="s">
        <v>271</v>
      </c>
      <c r="K25" s="72" t="s">
        <v>271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307</v>
      </c>
      <c r="B26" s="16" t="s">
        <v>303</v>
      </c>
      <c r="C26" s="116" t="s">
        <v>271</v>
      </c>
      <c r="D26" s="115" t="s">
        <v>271</v>
      </c>
      <c r="E26" s="106">
        <v>0.2</v>
      </c>
      <c r="F26" s="106">
        <v>0.7</v>
      </c>
      <c r="G26" s="106">
        <v>2</v>
      </c>
      <c r="H26" s="116" t="s">
        <v>271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308</v>
      </c>
      <c r="B27" s="71" t="s">
        <v>303</v>
      </c>
      <c r="C27" s="116" t="s">
        <v>271</v>
      </c>
      <c r="D27" s="115" t="s">
        <v>271</v>
      </c>
      <c r="E27" s="106">
        <v>0.15</v>
      </c>
      <c r="F27" s="106">
        <v>0.25</v>
      </c>
      <c r="G27" s="106">
        <v>1</v>
      </c>
      <c r="H27" s="116" t="s">
        <v>271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309</v>
      </c>
      <c r="B28" s="71" t="s">
        <v>303</v>
      </c>
      <c r="C28" s="116" t="s">
        <v>271</v>
      </c>
      <c r="D28" s="115" t="s">
        <v>271</v>
      </c>
      <c r="E28" s="106">
        <v>0.15</v>
      </c>
      <c r="F28" s="106">
        <v>0.25</v>
      </c>
      <c r="G28" s="106">
        <v>1</v>
      </c>
      <c r="H28" s="116" t="s">
        <v>271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310</v>
      </c>
      <c r="B29" s="118" t="s">
        <v>303</v>
      </c>
      <c r="C29" s="31" t="s">
        <v>271</v>
      </c>
      <c r="D29" s="31" t="s">
        <v>271</v>
      </c>
      <c r="E29" s="24">
        <v>0.1</v>
      </c>
      <c r="F29" s="24">
        <v>0.2</v>
      </c>
      <c r="G29" s="24">
        <v>0</v>
      </c>
      <c r="H29" s="31" t="s">
        <v>271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311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313</v>
      </c>
      <c r="B34" s="11" t="s">
        <v>314</v>
      </c>
    </row>
    <row r="35" spans="1:36">
      <c r="A35" t="s">
        <v>315</v>
      </c>
      <c r="B35" s="72">
        <v>60</v>
      </c>
      <c r="C35" s="86"/>
    </row>
    <row r="36" spans="1:36">
      <c r="A36" t="s">
        <v>316</v>
      </c>
      <c r="B36" s="72">
        <v>2000</v>
      </c>
      <c r="C36" s="86"/>
    </row>
    <row r="37" spans="1:36">
      <c r="A37" t="s">
        <v>317</v>
      </c>
      <c r="B37" s="2">
        <v>0.4</v>
      </c>
    </row>
    <row r="39" spans="1:36">
      <c r="A39" s="3" t="s">
        <v>318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319</v>
      </c>
      <c r="C40" s="193"/>
    </row>
    <row r="41" spans="1:36">
      <c r="A41" s="5" t="s">
        <v>100</v>
      </c>
      <c r="B41" s="191" t="s">
        <v>92</v>
      </c>
      <c r="C41" s="191" t="s">
        <v>96</v>
      </c>
    </row>
    <row r="42" spans="1:36">
      <c r="A42" t="s">
        <v>299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304</v>
      </c>
      <c r="B44" s="72">
        <v>50000</v>
      </c>
      <c r="C44" s="72">
        <v>200000</v>
      </c>
    </row>
    <row r="45" spans="1:36">
      <c r="A45" t="s">
        <v>307</v>
      </c>
      <c r="B45" s="72">
        <v>25000</v>
      </c>
      <c r="C45" s="72">
        <v>50000</v>
      </c>
    </row>
    <row r="46" spans="1:36">
      <c r="A46" t="s">
        <v>308</v>
      </c>
      <c r="B46" s="72">
        <v>6000</v>
      </c>
      <c r="C46" s="72">
        <v>12000</v>
      </c>
    </row>
    <row r="47" spans="1:36">
      <c r="A47" t="s">
        <v>309</v>
      </c>
      <c r="B47" s="72">
        <v>4500</v>
      </c>
      <c r="C47" s="72">
        <v>12000</v>
      </c>
    </row>
    <row r="48" spans="1:36">
      <c r="A48" t="s">
        <v>310</v>
      </c>
      <c r="B48" s="72">
        <v>20000</v>
      </c>
      <c r="C48" s="72">
        <v>20000</v>
      </c>
      <c r="D48" s="72"/>
    </row>
    <row r="50" spans="1:36">
      <c r="A50" s="3" t="s">
        <v>320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321</v>
      </c>
      <c r="H52" s="12" t="s">
        <v>129</v>
      </c>
      <c r="I52" s="12" t="s">
        <v>322</v>
      </c>
      <c r="AJ52" s="12"/>
    </row>
    <row r="53" spans="1:36" customHeight="1" ht="30">
      <c r="A53" s="11" t="s">
        <v>323</v>
      </c>
      <c r="B53" s="11" t="s">
        <v>324</v>
      </c>
      <c r="C53" s="11" t="s">
        <v>325</v>
      </c>
      <c r="D53" s="10" t="s">
        <v>237</v>
      </c>
      <c r="E53" s="10" t="s">
        <v>196</v>
      </c>
      <c r="F53" s="10" t="s">
        <v>256</v>
      </c>
      <c r="G53" s="10" t="s">
        <v>326</v>
      </c>
      <c r="H53" s="10" t="s">
        <v>327</v>
      </c>
      <c r="I53" s="10" t="s">
        <v>327</v>
      </c>
      <c r="AJ53" s="12"/>
    </row>
    <row r="54" spans="1:36">
      <c r="A54">
        <v>8</v>
      </c>
      <c r="B54" s="12" t="s">
        <v>328</v>
      </c>
      <c r="C54" s="12" t="s">
        <v>329</v>
      </c>
      <c r="D54" s="89">
        <v>465</v>
      </c>
      <c r="E54" s="89">
        <v>2</v>
      </c>
      <c r="F54" s="89">
        <v>4</v>
      </c>
      <c r="G54" s="7" t="s">
        <v>96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330</v>
      </c>
      <c r="C55" s="12" t="s">
        <v>329</v>
      </c>
      <c r="D55" s="89">
        <v>465</v>
      </c>
      <c r="E55" s="89">
        <v>2</v>
      </c>
      <c r="F55" s="89">
        <v>4</v>
      </c>
      <c r="G55" s="7" t="s">
        <v>96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331</v>
      </c>
      <c r="C56" s="116" t="s">
        <v>332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333</v>
      </c>
      <c r="C57" s="116" t="s">
        <v>329</v>
      </c>
      <c r="D57" s="189">
        <v>465</v>
      </c>
      <c r="E57" s="189">
        <v>2</v>
      </c>
      <c r="F57" s="189">
        <v>4</v>
      </c>
      <c r="G57" s="72" t="s">
        <v>96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334</v>
      </c>
      <c r="C58" s="116" t="s">
        <v>329</v>
      </c>
      <c r="D58" s="189">
        <v>465</v>
      </c>
      <c r="E58" s="189">
        <v>2</v>
      </c>
      <c r="F58" s="189">
        <v>4</v>
      </c>
      <c r="G58" s="72" t="s">
        <v>96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335</v>
      </c>
      <c r="C59" s="116" t="s">
        <v>332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336</v>
      </c>
      <c r="C60" s="116" t="s">
        <v>332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337</v>
      </c>
      <c r="C61" s="116" t="s">
        <v>332</v>
      </c>
      <c r="D61" s="189">
        <v>465</v>
      </c>
      <c r="E61" s="189">
        <v>2</v>
      </c>
      <c r="F61" s="189">
        <v>4</v>
      </c>
      <c r="G61" s="72" t="s">
        <v>96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338</v>
      </c>
      <c r="C62" s="116" t="s">
        <v>332</v>
      </c>
      <c r="D62" s="189">
        <v>465</v>
      </c>
      <c r="E62" s="189">
        <v>2</v>
      </c>
      <c r="F62" s="189">
        <v>4</v>
      </c>
      <c r="G62" s="72" t="s">
        <v>96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339</v>
      </c>
      <c r="C63" s="116" t="s">
        <v>332</v>
      </c>
      <c r="D63" s="189">
        <v>465</v>
      </c>
      <c r="E63" s="189">
        <v>2</v>
      </c>
      <c r="F63" s="189">
        <v>4</v>
      </c>
      <c r="G63" s="72" t="s">
        <v>96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340</v>
      </c>
      <c r="C64" s="116" t="s">
        <v>332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341</v>
      </c>
      <c r="C65" s="12" t="s">
        <v>332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342</v>
      </c>
      <c r="C66" s="12" t="s">
        <v>332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343</v>
      </c>
      <c r="C67" s="12" t="s">
        <v>332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344</v>
      </c>
      <c r="C68" s="12" t="s">
        <v>332</v>
      </c>
      <c r="D68" s="89">
        <v>930</v>
      </c>
      <c r="E68" s="89">
        <v>1</v>
      </c>
      <c r="F68" s="89">
        <v>6</v>
      </c>
      <c r="G68" s="7" t="s">
        <v>96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345</v>
      </c>
      <c r="C69" s="12" t="s">
        <v>332</v>
      </c>
      <c r="D69" s="89">
        <v>465</v>
      </c>
      <c r="E69" s="89">
        <v>2</v>
      </c>
      <c r="F69" s="89">
        <v>4</v>
      </c>
      <c r="G69" s="7" t="s">
        <v>96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346</v>
      </c>
      <c r="C70" s="12" t="s">
        <v>332</v>
      </c>
      <c r="D70" s="89">
        <v>465</v>
      </c>
      <c r="E70" s="89">
        <v>2</v>
      </c>
      <c r="F70" s="89">
        <v>4</v>
      </c>
      <c r="G70" s="7" t="s">
        <v>96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347</v>
      </c>
      <c r="C71" s="12" t="s">
        <v>329</v>
      </c>
      <c r="D71" s="89">
        <v>465</v>
      </c>
      <c r="E71" s="89">
        <v>2</v>
      </c>
      <c r="F71" s="89">
        <v>4</v>
      </c>
      <c r="G71" s="7" t="s">
        <v>96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349</v>
      </c>
      <c r="B76" s="11" t="s">
        <v>350</v>
      </c>
      <c r="C76" s="11" t="s">
        <v>174</v>
      </c>
      <c r="D76" s="11" t="s">
        <v>351</v>
      </c>
      <c r="E76" s="11" t="s">
        <v>80</v>
      </c>
      <c r="F76" s="11" t="s">
        <v>352</v>
      </c>
      <c r="G76" s="11" t="s">
        <v>353</v>
      </c>
      <c r="H76" s="11" t="s">
        <v>354</v>
      </c>
      <c r="I76" s="11" t="s">
        <v>233</v>
      </c>
      <c r="J76" s="11" t="s">
        <v>355</v>
      </c>
      <c r="K76" s="11" t="s">
        <v>186</v>
      </c>
      <c r="AJ76" s="12"/>
    </row>
    <row r="77" spans="1:36">
      <c r="A77" t="s">
        <v>96</v>
      </c>
      <c r="B77" s="176">
        <v>0</v>
      </c>
      <c r="C77" s="12" t="s">
        <v>356</v>
      </c>
      <c r="E77" s="12" t="s">
        <v>92</v>
      </c>
      <c r="F77" s="12" t="s">
        <v>92</v>
      </c>
      <c r="G77" s="12" t="s">
        <v>357</v>
      </c>
      <c r="H77" s="12" t="s">
        <v>129</v>
      </c>
      <c r="I77" s="12" t="s">
        <v>358</v>
      </c>
      <c r="J77" s="136" t="s">
        <v>359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360</v>
      </c>
      <c r="D78" s="133"/>
      <c r="E78" s="12" t="s">
        <v>361</v>
      </c>
      <c r="F78" s="12" t="s">
        <v>93</v>
      </c>
      <c r="G78" s="12" t="s">
        <v>362</v>
      </c>
      <c r="H78" s="12" t="s">
        <v>322</v>
      </c>
      <c r="I78" s="12" t="s">
        <v>363</v>
      </c>
      <c r="J78" s="70" t="s">
        <v>364</v>
      </c>
      <c r="K78" s="12" t="s">
        <v>92</v>
      </c>
      <c r="AJ78" s="12"/>
    </row>
    <row r="79" spans="1:36">
      <c r="B79" s="176">
        <v>10</v>
      </c>
      <c r="C79" s="12" t="s">
        <v>98</v>
      </c>
      <c r="D79" s="12">
        <v>1</v>
      </c>
      <c r="E79" s="12" t="s">
        <v>365</v>
      </c>
      <c r="F79" s="12" t="s">
        <v>366</v>
      </c>
      <c r="G79" s="12" t="s">
        <v>367</v>
      </c>
      <c r="I79" s="12" t="s">
        <v>174</v>
      </c>
      <c r="J79" s="70" t="s">
        <v>368</v>
      </c>
      <c r="K79" s="12" t="s">
        <v>92</v>
      </c>
      <c r="AJ79" s="12"/>
    </row>
    <row r="80" spans="1:36">
      <c r="B80" s="176">
        <v>20</v>
      </c>
      <c r="C80" s="12" t="s">
        <v>161</v>
      </c>
      <c r="D80" s="12">
        <f>D79+1</f>
        <v>2</v>
      </c>
      <c r="E80" s="12" t="s">
        <v>369</v>
      </c>
      <c r="F80" s="12" t="s">
        <v>370</v>
      </c>
      <c r="J80" s="70" t="s">
        <v>90</v>
      </c>
      <c r="K80" s="12" t="s">
        <v>96</v>
      </c>
      <c r="AJ80" s="12"/>
    </row>
    <row r="81" spans="1:36">
      <c r="B81" s="176">
        <v>30</v>
      </c>
      <c r="C81" s="12" t="s">
        <v>162</v>
      </c>
      <c r="D81" s="12">
        <f>D80+1</f>
        <v>3</v>
      </c>
      <c r="J81" s="70" t="s">
        <v>371</v>
      </c>
      <c r="K81" s="12" t="s">
        <v>96</v>
      </c>
    </row>
    <row r="82" spans="1:36">
      <c r="B82" s="176">
        <v>40</v>
      </c>
      <c r="C82" s="12" t="s">
        <v>372</v>
      </c>
      <c r="D82" s="12">
        <f>D81+1</f>
        <v>4</v>
      </c>
      <c r="J82" s="70"/>
    </row>
    <row r="83" spans="1:36">
      <c r="B83" s="176">
        <v>50</v>
      </c>
      <c r="C83" s="12" t="s">
        <v>373</v>
      </c>
      <c r="D83" s="12">
        <f>D82+1</f>
        <v>5</v>
      </c>
    </row>
    <row r="84" spans="1:36">
      <c r="B84" s="176">
        <v>60</v>
      </c>
      <c r="C84" s="12" t="s">
        <v>374</v>
      </c>
      <c r="D84" s="12">
        <f>D83+1</f>
        <v>6</v>
      </c>
    </row>
    <row r="85" spans="1:36">
      <c r="B85" s="176">
        <v>70</v>
      </c>
      <c r="C85" s="12" t="s">
        <v>375</v>
      </c>
      <c r="D85" s="12">
        <f>D84+1</f>
        <v>7</v>
      </c>
    </row>
    <row r="86" spans="1:36">
      <c r="B86" s="176">
        <v>80</v>
      </c>
      <c r="C86" s="12" t="s">
        <v>376</v>
      </c>
      <c r="D86" s="12">
        <f>D85+1</f>
        <v>8</v>
      </c>
    </row>
    <row r="87" spans="1:36">
      <c r="B87" s="176">
        <v>89.99999999999999</v>
      </c>
      <c r="C87" s="12" t="s">
        <v>377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159</v>
      </c>
      <c r="D89" s="12">
        <f>D88+1</f>
        <v>11</v>
      </c>
    </row>
    <row r="90" spans="1:36">
      <c r="C90" s="12" t="s">
        <v>160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