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<sst xmlns="http://schemas.openxmlformats.org/spreadsheetml/2006/main" uniqueCount="372">
  <si>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</si>
  <si>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</si>
  <si>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</si>
  <si>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</si>
  <si>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</si>
  <si>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</si>
  <si>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</si>
  <si>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</si>
  <si>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</si>
  <si>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</si>
  <si>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</si>
  <si>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</si>
  <si>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</si>
  <si>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</si>
  <si>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</si>
  <si>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</si>
  <si>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</si>
  <si>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</si>
  <si>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</si>
  <si>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</si>
  <si>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</si>
  <si>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</si>
  <si>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</si>
  <si>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</si>
  <si>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</si>
  <si>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</si>
  <si>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</si>
  <si>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</si>
  <si>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</si>
  <si>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</si>
  <si>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</si>
  <si>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</si>
  <si>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</si>
  <si>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</si>
  <si>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</si>
  <si>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</si>
  <si>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</si>
  <si>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</si>
  <si>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</si>
  <si>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</si>
  <si>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</si>
  <si>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</si>
  <si>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</si>
  <si>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</si>
  <si>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</si>
  <si>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</si>
  <si>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</si>
  <si>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</si>
  <si>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</si>
  <si>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</si>
  <si>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</si>
  <si>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</si>
  <si>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</si>
  <si>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</si>
  <si>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</si>
  <si>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</si>
  <si>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</si>
  <si>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</si>
  <si>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</si>
  <si>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</si>
  <si>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</si>
  <si>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</si>
  <si>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</si>
  <si>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</si>
  <si>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</si>
  <si>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</si>
  <si>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</si>
  <si>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</si>
  <si>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</si>
  <si>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</si>
  <si>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</si>
  <si>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</si>
  <si>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</si>
  <si>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</si>
  <si>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</si>
  <si>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</si>
  <si>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</si>
  <si>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</si>
  <si>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</si>
  <si>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</si>
  <si>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</si>
  <si>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</si>
  <si>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</si>
  <si>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</si>
  <si>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</si>
  <si>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</si>
  <si>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</si>
  <si>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</si>
  <si>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</si>
  <si>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</si>
  <si>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Home recycled</t>
  </si>
  <si>
    <t>No</t>
  </si>
  <si>
    <t>January</t>
  </si>
  <si>
    <t>Bananas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</si>
  <si>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</si>
  <si>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</si>
  <si>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</si>
  <si>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</si>
  <si>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</si>
  <si>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</si>
  <si>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</si>
  <si>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</si>
  <si>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</si>
  <si>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</si>
  <si>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</si>
  <si>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</si>
  <si>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</si>
  <si>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</si>
  <si>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</si>
  <si>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</si>
  <si>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</si>
  <si>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</si>
  <si>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</si>
  <si>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</si>
  <si>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</si>
  <si>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rentals, Electrician and painter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</si>
  <si>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</si>
  <si>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</si>
  <si>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</si>
  <si>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</si>
  <si>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</si>
  <si>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</si>
  <si>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</si>
  <si>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</si>
  <si>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</si>
  <si>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</si>
  <si>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</si>
  <si>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</si>
  <si>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</si>
  <si>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</si>
  <si>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</si>
  <si>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</si>
  <si>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</si>
  <si>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</si>
  <si>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</si>
  <si>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</si>
  <si>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</si>
  <si>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</si>
  <si>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</si>
  <si>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</si>
  <si>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</si>
  <si>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</si>
  <si>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</si>
  <si>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7/18/2014</t>
  </si>
  <si>
    <t>Musoni K</t>
  </si>
  <si>
    <t>100% rtp</t>
  </si>
  <si>
    <t>3/3/2015</t>
  </si>
  <si>
    <t>100% rr</t>
  </si>
  <si>
    <t>2/22/2016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</si>
  <si>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</si>
  <si>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</si>
  <si>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</si>
  <si>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</si>
  <si>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</si>
  <si>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</si>
  <si>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</si>
  <si>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</si>
  <si>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</si>
  <si>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</si>
  <si>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</si>
  <si>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</si>
  <si>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2017/10/4</t>
  </si>
  <si>
    <t>Loan terms</t>
  </si>
  <si>
    <t>Expected disbursement date</t>
  </si>
  <si>
    <t>Expected first repayment date</t>
  </si>
  <si>
    <t>2017/11/4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</si>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</sst>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rentals, Electrician and painter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0.2048247697204294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0.0125139043381535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12250</v>
      </c>
    </row>
    <row r="17" spans="1:7">
      <c r="B17" s="1" t="s">
        <v>11</v>
      </c>
      <c r="C17" s="36">
        <f>SUM(Output!B6:M6)</f>
        <v>582783.0264</v>
      </c>
    </row>
    <row r="18" spans="1:7">
      <c r="B18" s="1" t="s">
        <v>12</v>
      </c>
      <c r="C18" s="36">
        <f>MIN(Output!B6:M6)</f>
        <v>48565.2522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48565.2522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143333.3333333333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48565.2522</v>
      </c>
      <c r="C6" s="51">
        <f>C30-C88</f>
        <v>48565.2522</v>
      </c>
      <c r="D6" s="51">
        <f>D30-D88</f>
        <v>48565.2522</v>
      </c>
      <c r="E6" s="51">
        <f>E30-E88</f>
        <v>48565.2522</v>
      </c>
      <c r="F6" s="51">
        <f>F30-F88</f>
        <v>48565.2522</v>
      </c>
      <c r="G6" s="51">
        <f>G30-G88</f>
        <v>48565.2522</v>
      </c>
      <c r="H6" s="51">
        <f>H30-H88</f>
        <v>48565.2522</v>
      </c>
      <c r="I6" s="51">
        <f>I30-I88</f>
        <v>48565.2522</v>
      </c>
      <c r="J6" s="51">
        <f>J30-J88</f>
        <v>48565.2522</v>
      </c>
      <c r="K6" s="51">
        <f>K30-K88</f>
        <v>48565.2522</v>
      </c>
      <c r="L6" s="51">
        <f>L30-L88</f>
        <v>48565.2522</v>
      </c>
      <c r="M6" s="51">
        <f>M30-M88</f>
        <v>48565.2522</v>
      </c>
      <c r="N6" s="51">
        <f>N30-N88</f>
        <v>48565.2522</v>
      </c>
      <c r="O6" s="51">
        <f>O30-O88</f>
        <v>48565.2522</v>
      </c>
      <c r="P6" s="51">
        <f>P30-P88</f>
        <v>48565.2522</v>
      </c>
      <c r="Q6" s="51">
        <f>Q30-Q88</f>
        <v>48565.2522</v>
      </c>
      <c r="R6" s="51">
        <f>R30-R88</f>
        <v>48565.2522</v>
      </c>
      <c r="S6" s="51">
        <f>S30-S88</f>
        <v>48565.2522</v>
      </c>
      <c r="T6" s="51">
        <f>T30-T88</f>
        <v>48565.2522</v>
      </c>
      <c r="U6" s="51">
        <f>U30-U88</f>
        <v>48565.2522</v>
      </c>
      <c r="V6" s="51">
        <f>V30-V88</f>
        <v>48565.2522</v>
      </c>
      <c r="W6" s="51">
        <f>W30-W88</f>
        <v>48565.2522</v>
      </c>
      <c r="X6" s="51">
        <f>X30-X88</f>
        <v>48565.2522</v>
      </c>
      <c r="Y6" s="51">
        <f>Y30-Y88</f>
        <v>48565.2522</v>
      </c>
      <c r="Z6" s="51">
        <f>SUMIF($B$13:$Y$13,"Yes",B6:Y6)</f>
        <v>1165566.0528</v>
      </c>
      <c r="AA6" s="51">
        <f>AA30-AA88</f>
        <v>582783.0264000002</v>
      </c>
      <c r="AB6" s="51">
        <f>AB30-AB88</f>
        <v>1165566.052800001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34009</v>
      </c>
      <c r="I7" s="80">
        <f>IF(ISERROR(VLOOKUP(MONTH(I5),Inputs!$D$66:$D$71,1,0)),"",INDEX(Inputs!$B$66:$B$71,MATCH(MONTH(Output!I5),Inputs!$D$66:$D$71,0))-INDEX(Inputs!$C$66:$C$71,MATCH(MONTH(Output!I5),Inputs!$D$66:$D$71,0)))</f>
        <v>16589</v>
      </c>
      <c r="J7" s="80">
        <f>IF(ISERROR(VLOOKUP(MONTH(J5),Inputs!$D$66:$D$71,1,0)),"",INDEX(Inputs!$B$66:$B$71,MATCH(MONTH(Output!J5),Inputs!$D$66:$D$71,0))-INDEX(Inputs!$C$66:$C$71,MATCH(MONTH(Output!J5),Inputs!$D$66:$D$71,0)))</f>
        <v>44122</v>
      </c>
      <c r="K7" s="80">
        <f>IF(ISERROR(VLOOKUP(MONTH(K5),Inputs!$D$66:$D$71,1,0)),"",INDEX(Inputs!$B$66:$B$71,MATCH(MONTH(Output!K5),Inputs!$D$66:$D$71,0))-INDEX(Inputs!$C$66:$C$71,MATCH(MONTH(Output!K5),Inputs!$D$66:$D$71,0)))</f>
        <v>41526</v>
      </c>
      <c r="L7" s="80">
        <f>IF(ISERROR(VLOOKUP(MONTH(L5),Inputs!$D$66:$D$71,1,0)),"",INDEX(Inputs!$B$66:$B$71,MATCH(MONTH(Output!L5),Inputs!$D$66:$D$71,0))-INDEX(Inputs!$C$66:$C$71,MATCH(MONTH(Output!L5),Inputs!$D$66:$D$71,0)))</f>
        <v>37884</v>
      </c>
      <c r="M7" s="80">
        <f>IF(ISERROR(VLOOKUP(MONTH(M5),Inputs!$D$66:$D$71,1,0)),"",INDEX(Inputs!$B$66:$B$71,MATCH(MONTH(Output!M5),Inputs!$D$66:$D$71,0))-INDEX(Inputs!$C$66:$C$71,MATCH(MONTH(Output!M5),Inputs!$D$66:$D$71,0)))</f>
        <v>56655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34009</v>
      </c>
      <c r="U7" s="80">
        <f>IF(ISERROR(VLOOKUP(MONTH(U5),Inputs!$D$66:$D$71,1,0)),"",INDEX(Inputs!$B$66:$B$71,MATCH(MONTH(Output!U5),Inputs!$D$66:$D$71,0))-INDEX(Inputs!$C$66:$C$71,MATCH(MONTH(Output!U5),Inputs!$D$66:$D$71,0)))</f>
        <v>16589</v>
      </c>
      <c r="V7" s="80">
        <f>IF(ISERROR(VLOOKUP(MONTH(V5),Inputs!$D$66:$D$71,1,0)),"",INDEX(Inputs!$B$66:$B$71,MATCH(MONTH(Output!V5),Inputs!$D$66:$D$71,0))-INDEX(Inputs!$C$66:$C$71,MATCH(MONTH(Output!V5),Inputs!$D$66:$D$71,0)))</f>
        <v>44122</v>
      </c>
      <c r="W7" s="80">
        <f>IF(ISERROR(VLOOKUP(MONTH(W5),Inputs!$D$66:$D$71,1,0)),"",INDEX(Inputs!$B$66:$B$71,MATCH(MONTH(Output!W5),Inputs!$D$66:$D$71,0))-INDEX(Inputs!$C$66:$C$71,MATCH(MONTH(Output!W5),Inputs!$D$66:$D$71,0)))</f>
        <v>41526</v>
      </c>
      <c r="X7" s="80">
        <f>IF(ISERROR(VLOOKUP(MONTH(X5),Inputs!$D$66:$D$71,1,0)),"",INDEX(Inputs!$B$66:$B$71,MATCH(MONTH(Output!X5),Inputs!$D$66:$D$71,0))-INDEX(Inputs!$C$66:$C$71,MATCH(MONTH(Output!X5),Inputs!$D$66:$D$71,0)))</f>
        <v>37884</v>
      </c>
      <c r="Y7" s="80">
        <f>IF(ISERROR(VLOOKUP(MONTH(Y5),Inputs!$D$66:$D$71,1,0)),"",INDEX(Inputs!$B$66:$B$71,MATCH(MONTH(Output!Y5),Inputs!$D$66:$D$71,0))-INDEX(Inputs!$C$66:$C$71,MATCH(MONTH(Output!Y5),Inputs!$D$66:$D$71,0)))</f>
        <v>56655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210000</v>
      </c>
      <c r="AA9" s="75">
        <f>SUM(B9:M9)</f>
        <v>210000</v>
      </c>
      <c r="AB9" s="75">
        <f>SUM(B9:Y9)</f>
        <v>210000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12250</v>
      </c>
      <c r="D10" s="37">
        <f>SUMPRODUCT((Calculations!$D$33:$D$84=Output!D5)+0,Calculations!$C$33:$C$84)</f>
        <v>12250</v>
      </c>
      <c r="E10" s="37">
        <f>SUMPRODUCT((Calculations!$D$33:$D$84=Output!E5)+0,Calculations!$C$33:$C$84)</f>
        <v>12250</v>
      </c>
      <c r="F10" s="37">
        <f>SUMPRODUCT((Calculations!$D$33:$D$84=Output!F5)+0,Calculations!$C$33:$C$84)</f>
        <v>12250</v>
      </c>
      <c r="G10" s="37">
        <f>SUMPRODUCT((Calculations!$D$33:$D$84=Output!G5)+0,Calculations!$C$33:$C$84)</f>
        <v>12250</v>
      </c>
      <c r="H10" s="37">
        <f>SUMPRODUCT((Calculations!$D$33:$D$84=Output!H5)+0,Calculations!$C$33:$C$84)</f>
        <v>12250</v>
      </c>
      <c r="I10" s="37">
        <f>SUMPRODUCT((Calculations!$D$33:$D$84=Output!I5)+0,Calculations!$C$33:$C$84)</f>
        <v>12250</v>
      </c>
      <c r="J10" s="37">
        <f>SUMPRODUCT((Calculations!$D$33:$D$84=Output!J5)+0,Calculations!$C$33:$C$84)</f>
        <v>12250</v>
      </c>
      <c r="K10" s="37">
        <f>SUMPRODUCT((Calculations!$D$33:$D$84=Output!K5)+0,Calculations!$C$33:$C$84)</f>
        <v>12250</v>
      </c>
      <c r="L10" s="37">
        <f>SUMPRODUCT((Calculations!$D$33:$D$84=Output!L5)+0,Calculations!$C$33:$C$84)</f>
        <v>12250</v>
      </c>
      <c r="M10" s="37">
        <f>SUMPRODUCT((Calculations!$D$33:$D$84=Output!M5)+0,Calculations!$C$33:$C$84)</f>
        <v>12250</v>
      </c>
      <c r="N10" s="37">
        <f>SUMPRODUCT((Calculations!$D$33:$D$84=Output!N5)+0,Calculations!$C$33:$C$84)</f>
        <v>12250</v>
      </c>
      <c r="O10" s="37">
        <f>SUMPRODUCT((Calculations!$D$33:$D$84=Output!O5)+0,Calculations!$C$33:$C$84)</f>
        <v>12250</v>
      </c>
      <c r="P10" s="37">
        <f>SUMPRODUCT((Calculations!$D$33:$D$84=Output!P5)+0,Calculations!$C$33:$C$84)</f>
        <v>12250</v>
      </c>
      <c r="Q10" s="37">
        <f>SUMPRODUCT((Calculations!$D$33:$D$84=Output!Q5)+0,Calculations!$C$33:$C$84)</f>
        <v>12250</v>
      </c>
      <c r="R10" s="37">
        <f>SUMPRODUCT((Calculations!$D$33:$D$84=Output!R5)+0,Calculations!$C$33:$C$84)</f>
        <v>12250</v>
      </c>
      <c r="S10" s="37">
        <f>SUMPRODUCT((Calculations!$D$33:$D$84=Output!S5)+0,Calculations!$C$33:$C$84)</f>
        <v>12250</v>
      </c>
      <c r="T10" s="37">
        <f>SUMPRODUCT((Calculations!$D$33:$D$84=Output!T5)+0,Calculations!$C$33:$C$84)</f>
        <v>12250</v>
      </c>
      <c r="U10" s="37">
        <f>SUMPRODUCT((Calculations!$D$33:$D$84=Output!U5)+0,Calculations!$C$33:$C$84)</f>
        <v>12250</v>
      </c>
      <c r="V10" s="37">
        <f>SUMPRODUCT((Calculations!$D$33:$D$84=Output!V5)+0,Calculations!$C$33:$C$84)</f>
        <v>12250</v>
      </c>
      <c r="W10" s="37">
        <f>SUMPRODUCT((Calculations!$D$33:$D$84=Output!W5)+0,Calculations!$C$33:$C$84)</f>
        <v>12250</v>
      </c>
      <c r="X10" s="37">
        <f>SUMPRODUCT((Calculations!$D$33:$D$84=Output!X5)+0,Calculations!$C$33:$C$84)</f>
        <v>12250</v>
      </c>
      <c r="Y10" s="37">
        <f>SUMPRODUCT((Calculations!$D$33:$D$84=Output!Y5)+0,Calculations!$C$33:$C$84)</f>
        <v>12250</v>
      </c>
      <c r="Z10" s="37">
        <f>SUMIF($B$13:$Y$13,"Yes",B10:Y10)</f>
        <v>281750</v>
      </c>
      <c r="AA10" s="37">
        <f>SUM(B10:M10)</f>
        <v>134750</v>
      </c>
      <c r="AB10" s="37">
        <f>SUM(B10:Y10)</f>
        <v>281750</v>
      </c>
    </row>
    <row r="11" spans="1:30" customHeight="1" ht="15.75">
      <c r="A11" s="43" t="s">
        <v>31</v>
      </c>
      <c r="B11" s="80">
        <f>B6+B9-B10</f>
        <v>258565.2522</v>
      </c>
      <c r="C11" s="80">
        <f>C6+C9-C10</f>
        <v>36315.2522</v>
      </c>
      <c r="D11" s="80">
        <f>D6+D9-D10</f>
        <v>36315.2522</v>
      </c>
      <c r="E11" s="80">
        <f>E6+E9-E10</f>
        <v>36315.2522</v>
      </c>
      <c r="F11" s="80">
        <f>F6+F9-F10</f>
        <v>36315.2522</v>
      </c>
      <c r="G11" s="80">
        <f>G6+G9-G10</f>
        <v>36315.2522</v>
      </c>
      <c r="H11" s="80">
        <f>H6+H9-H10</f>
        <v>36315.2522</v>
      </c>
      <c r="I11" s="80">
        <f>I6+I9-I10</f>
        <v>36315.2522</v>
      </c>
      <c r="J11" s="80">
        <f>J6+J9-J10</f>
        <v>36315.2522</v>
      </c>
      <c r="K11" s="80">
        <f>K6+K9-K10</f>
        <v>36315.2522</v>
      </c>
      <c r="L11" s="80">
        <f>L6+L9-L10</f>
        <v>36315.2522</v>
      </c>
      <c r="M11" s="80">
        <f>M6+M9-M10</f>
        <v>36315.2522</v>
      </c>
      <c r="N11" s="80">
        <f>N6+N9-N10</f>
        <v>36315.2522</v>
      </c>
      <c r="O11" s="80">
        <f>O6+O9-O10</f>
        <v>36315.2522</v>
      </c>
      <c r="P11" s="80">
        <f>P6+P9-P10</f>
        <v>36315.2522</v>
      </c>
      <c r="Q11" s="80">
        <f>Q6+Q9-Q10</f>
        <v>36315.2522</v>
      </c>
      <c r="R11" s="80">
        <f>R6+R9-R10</f>
        <v>36315.2522</v>
      </c>
      <c r="S11" s="80">
        <f>S6+S9-S10</f>
        <v>36315.2522</v>
      </c>
      <c r="T11" s="80">
        <f>T6+T9-T10</f>
        <v>36315.2522</v>
      </c>
      <c r="U11" s="80">
        <f>U6+U9-U10</f>
        <v>36315.2522</v>
      </c>
      <c r="V11" s="80">
        <f>V6+V9-V10</f>
        <v>36315.2522</v>
      </c>
      <c r="W11" s="80">
        <f>W6+W9-W10</f>
        <v>36315.2522</v>
      </c>
      <c r="X11" s="80">
        <f>X6+X9-X10</f>
        <v>36315.2522</v>
      </c>
      <c r="Y11" s="80">
        <f>Y6+Y9-Y10</f>
        <v>36315.2522</v>
      </c>
      <c r="Z11" s="85">
        <f>SUMIF($B$13:$Y$13,"Yes",B11:Y11)</f>
        <v>1093816.0528</v>
      </c>
      <c r="AA11" s="80">
        <f>SUM(B11:M11)</f>
        <v>658033.0263999999</v>
      </c>
      <c r="AB11" s="46">
        <f>SUM(B11:Y11)</f>
        <v>1093816.0528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0.03988532504751098</v>
      </c>
      <c r="D12" s="82">
        <f>IF(D13="Yes",IF(SUM($B$10:D10)/(SUM($B$6:D6)+SUM($B$9:D9))&lt;0,999.99,SUM($B$10:D10)/(SUM($B$6:D6)+SUM($B$9:D9))),"")</f>
        <v>0.06887908991152693</v>
      </c>
      <c r="E12" s="82">
        <f>IF(E13="Yes",IF(SUM($B$10:E10)/(SUM($B$6:E6)+SUM($B$9:E9))&lt;0,999.99,SUM($B$10:E10)/(SUM($B$6:E6)+SUM($B$9:E9))),"")</f>
        <v>0.090906615280776</v>
      </c>
      <c r="F12" s="82">
        <f>IF(F13="Yes",IF(SUM($B$10:F10)/(SUM($B$6:F6)+SUM($B$9:F9))&lt;0,999.99,SUM($B$10:F10)/(SUM($B$6:F6)+SUM($B$9:F9))),"")</f>
        <v>0.1082092718999793</v>
      </c>
      <c r="G12" s="82">
        <f>IF(G13="Yes",IF(SUM($B$10:G10)/(SUM($B$6:G6)+SUM($B$9:G9))&lt;0,999.99,SUM($B$10:G10)/(SUM($B$6:G6)+SUM($B$9:G9))),"")</f>
        <v>0.1221600254242197</v>
      </c>
      <c r="H12" s="82">
        <f>IF(H13="Yes",IF(SUM($B$10:H10)/(SUM($B$6:H6)+SUM($B$9:H9))&lt;0,999.99,SUM($B$10:H10)/(SUM($B$6:H6)+SUM($B$9:H9))),"")</f>
        <v>0.1336468693980722</v>
      </c>
      <c r="I12" s="82">
        <f>IF(I13="Yes",IF(SUM($B$10:I10)/(SUM($B$6:I6)+SUM($B$9:I9))&lt;0,999.99,SUM($B$10:I10)/(SUM($B$6:I6)+SUM($B$9:I9))),"")</f>
        <v>0.1432695832040516</v>
      </c>
      <c r="J12" s="82">
        <f>IF(J13="Yes",IF(SUM($B$10:J10)/(SUM($B$6:J6)+SUM($B$9:J9))&lt;0,999.99,SUM($B$10:J10)/(SUM($B$6:J6)+SUM($B$9:J9))),"")</f>
        <v>0.1514478874391851</v>
      </c>
      <c r="K12" s="82">
        <f>IF(K13="Yes",IF(SUM($B$10:K10)/(SUM($B$6:K6)+SUM($B$9:K9))&lt;0,999.99,SUM($B$10:K10)/(SUM($B$6:K6)+SUM($B$9:K9))),"")</f>
        <v>0.1584842956984206</v>
      </c>
      <c r="L12" s="82">
        <f>IF(L13="Yes",IF(SUM($B$10:L10)/(SUM($B$6:L6)+SUM($B$9:L9))&lt;0,999.99,SUM($B$10:L10)/(SUM($B$6:L6)+SUM($B$9:L9))),"")</f>
        <v>0.1646023573297237</v>
      </c>
      <c r="M12" s="82">
        <f>IF(M13="Yes",IF(SUM($B$10:M10)/(SUM($B$6:M6)+SUM($B$9:M9))&lt;0,999.99,SUM($B$10:M10)/(SUM($B$6:M6)+SUM($B$9:M9))),"")</f>
        <v>0.16997084386619</v>
      </c>
      <c r="N12" s="82">
        <f>IF(N13="Yes",IF(SUM($B$10:N10)/(SUM($B$6:N6)+SUM($B$9:N9))&lt;0,999.99,SUM($B$10:N10)/(SUM($B$6:N6)+SUM($B$9:N9))),"")</f>
        <v>0.1747195587594324</v>
      </c>
      <c r="O12" s="82">
        <f>IF(O13="Yes",IF(SUM($B$10:O10)/(SUM($B$6:O6)+SUM($B$9:O9))&lt;0,999.99,SUM($B$10:O10)/(SUM($B$6:O6)+SUM($B$9:O9))),"")</f>
        <v>0.1789499704053719</v>
      </c>
      <c r="P12" s="82">
        <f>IF(P13="Yes",IF(SUM($B$10:P10)/(SUM($B$6:P6)+SUM($B$9:P9))&lt;0,999.99,SUM($B$10:P10)/(SUM($B$6:P6)+SUM($B$9:P9))),"")</f>
        <v>0.1827425436851885</v>
      </c>
      <c r="Q12" s="82">
        <f>IF(Q13="Yes",IF(SUM($B$10:Q10)/(SUM($B$6:Q6)+SUM($B$9:Q9))&lt;0,999.99,SUM($B$10:Q10)/(SUM($B$6:Q6)+SUM($B$9:Q9))),"")</f>
        <v>0.1861619071156918</v>
      </c>
      <c r="R12" s="82">
        <f>IF(R13="Yes",IF(SUM($B$10:R10)/(SUM($B$6:R6)+SUM($B$9:R9))&lt;0,999.99,SUM($B$10:R10)/(SUM($B$6:R6)+SUM($B$9:R9))),"")</f>
        <v>0.1892605661079745</v>
      </c>
      <c r="S12" s="82">
        <f>IF(S13="Yes",IF(SUM($B$10:S10)/(SUM($B$6:S6)+SUM($B$9:S9))&lt;0,999.99,SUM($B$10:S10)/(SUM($B$6:S6)+SUM($B$9:S9))),"")</f>
        <v>0.1920816182206536</v>
      </c>
      <c r="T12" s="82">
        <f>IF(T13="Yes",IF(SUM($B$10:T10)/(SUM($B$6:T6)+SUM($B$9:T9))&lt;0,999.99,SUM($B$10:T10)/(SUM($B$6:T6)+SUM($B$9:T9))),"")</f>
        <v>0.1946607699281144</v>
      </c>
      <c r="U12" s="82">
        <f>IF(U13="Yes",IF(SUM($B$10:U10)/(SUM($B$6:U6)+SUM($B$9:U9))&lt;0,999.99,SUM($B$10:U10)/(SUM($B$6:U6)+SUM($B$9:U9))),"")</f>
        <v>0.1970278559142426</v>
      </c>
      <c r="V12" s="82">
        <f>IF(V13="Yes",IF(SUM($B$10:V10)/(SUM($B$6:V6)+SUM($B$9:V9))&lt;0,999.99,SUM($B$10:V10)/(SUM($B$6:V6)+SUM($B$9:V9))),"")</f>
        <v>0.1992079984019375</v>
      </c>
      <c r="W12" s="82">
        <f>IF(W13="Yes",IF(SUM($B$10:W10)/(SUM($B$6:W6)+SUM($B$9:W9))&lt;0,999.99,SUM($B$10:W10)/(SUM($B$6:W6)+SUM($B$9:W9))),"")</f>
        <v>0.201222502238737</v>
      </c>
      <c r="X12" s="82">
        <f>IF(X13="Yes",IF(SUM($B$10:X10)/(SUM($B$6:X6)+SUM($B$9:X9))&lt;0,999.99,SUM($B$10:X10)/(SUM($B$6:X6)+SUM($B$9:X9))),"")</f>
        <v>0.2030895534336877</v>
      </c>
      <c r="Y12" s="82">
        <f>IF(Y13="Yes",IF(SUM($B$10:Y10)/(SUM($B$6:Y6)+SUM($B$9:Y9))&lt;0,999.99,SUM($B$10:Y10)/(SUM($B$6:Y6)+SUM($B$9:Y9))),"")</f>
        <v>0.2048247697204294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11567.087</v>
      </c>
      <c r="C19" s="36">
        <f>O19</f>
        <v>11567.087</v>
      </c>
      <c r="D19" s="36">
        <f>P19</f>
        <v>11567.087</v>
      </c>
      <c r="E19" s="36">
        <f>Q19</f>
        <v>11567.087</v>
      </c>
      <c r="F19" s="36">
        <f>R19</f>
        <v>11567.087</v>
      </c>
      <c r="G19" s="36">
        <f>S19</f>
        <v>11567.087</v>
      </c>
      <c r="H19" s="36">
        <f>T19</f>
        <v>11567.087</v>
      </c>
      <c r="I19" s="36">
        <f>U19</f>
        <v>11567.087</v>
      </c>
      <c r="J19" s="36">
        <f>V19</f>
        <v>11567.087</v>
      </c>
      <c r="K19" s="36">
        <f>W19</f>
        <v>11567.087</v>
      </c>
      <c r="L19" s="36">
        <f>X19</f>
        <v>11567.087</v>
      </c>
      <c r="M19" s="36">
        <f>Y19</f>
        <v>11567.087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11567.087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11567.087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11567.087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11567.087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11567.087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11567.087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11567.087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11567.087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11567.087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11567.087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11567.087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11567.087</v>
      </c>
      <c r="Z19" s="36">
        <f>SUMIF($B$13:$Y$13,"Yes",B19:Y19)</f>
        <v>277610.088</v>
      </c>
      <c r="AA19" s="36">
        <f>SUM(B19:M19)</f>
        <v>138805.044</v>
      </c>
      <c r="AB19" s="36">
        <f>SUM(B19:Y19)</f>
        <v>277610.088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766499.9999999999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1200000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93504.587</v>
      </c>
      <c r="C30" s="19">
        <f>SUM(C18:C29)</f>
        <v>93504.587</v>
      </c>
      <c r="D30" s="19">
        <f>SUM(D18:D29)</f>
        <v>93504.587</v>
      </c>
      <c r="E30" s="19">
        <f>SUM(E18:E29)</f>
        <v>93504.587</v>
      </c>
      <c r="F30" s="19">
        <f>SUM(F18:F29)</f>
        <v>93504.587</v>
      </c>
      <c r="G30" s="19">
        <f>SUM(G18:G29)</f>
        <v>93504.587</v>
      </c>
      <c r="H30" s="19">
        <f>SUM(H18:H29)</f>
        <v>93504.587</v>
      </c>
      <c r="I30" s="19">
        <f>SUM(I18:I29)</f>
        <v>93504.587</v>
      </c>
      <c r="J30" s="19">
        <f>SUM(J18:J29)</f>
        <v>93504.587</v>
      </c>
      <c r="K30" s="19">
        <f>SUM(K18:K29)</f>
        <v>93504.587</v>
      </c>
      <c r="L30" s="19">
        <f>SUM(L18:L29)</f>
        <v>93504.587</v>
      </c>
      <c r="M30" s="19">
        <f>SUM(M18:M29)</f>
        <v>93504.587</v>
      </c>
      <c r="N30" s="19">
        <f>SUM(N18:N29)</f>
        <v>93504.587</v>
      </c>
      <c r="O30" s="19">
        <f>SUM(O18:O29)</f>
        <v>93504.587</v>
      </c>
      <c r="P30" s="19">
        <f>SUM(P18:P29)</f>
        <v>93504.587</v>
      </c>
      <c r="Q30" s="19">
        <f>SUM(Q18:Q29)</f>
        <v>93504.587</v>
      </c>
      <c r="R30" s="19">
        <f>SUM(R18:R29)</f>
        <v>93504.587</v>
      </c>
      <c r="S30" s="19">
        <f>SUM(S18:S29)</f>
        <v>93504.587</v>
      </c>
      <c r="T30" s="19">
        <f>SUM(T18:T29)</f>
        <v>93504.587</v>
      </c>
      <c r="U30" s="19">
        <f>SUM(U18:U29)</f>
        <v>93504.587</v>
      </c>
      <c r="V30" s="19">
        <f>SUM(V18:V29)</f>
        <v>93504.587</v>
      </c>
      <c r="W30" s="19">
        <f>SUM(W18:W29)</f>
        <v>93504.587</v>
      </c>
      <c r="X30" s="19">
        <f>SUM(X18:X29)</f>
        <v>93504.587</v>
      </c>
      <c r="Y30" s="19">
        <f>SUM(Y18:Y29)</f>
        <v>93504.587</v>
      </c>
      <c r="Z30" s="19">
        <f>SUMIF($B$13:$Y$13,"Yes",B30:Y30)</f>
        <v>2244110.088</v>
      </c>
      <c r="AA30" s="19">
        <f>SUM(B30:M30)</f>
        <v>1122055.044</v>
      </c>
      <c r="AB30" s="19">
        <f>SUM(B30:Y30)</f>
        <v>2244110.088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843.75</v>
      </c>
      <c r="C66" s="36">
        <f>O66</f>
        <v>843.75</v>
      </c>
      <c r="D66" s="36">
        <f>P66</f>
        <v>843.75</v>
      </c>
      <c r="E66" s="36">
        <f>Q66</f>
        <v>843.75</v>
      </c>
      <c r="F66" s="36">
        <f>R66</f>
        <v>843.75</v>
      </c>
      <c r="G66" s="36">
        <f>S66</f>
        <v>843.75</v>
      </c>
      <c r="H66" s="36">
        <f>T66</f>
        <v>843.75</v>
      </c>
      <c r="I66" s="36">
        <f>U66</f>
        <v>843.75</v>
      </c>
      <c r="J66" s="36">
        <f>V66</f>
        <v>843.75</v>
      </c>
      <c r="K66" s="36">
        <f>W66</f>
        <v>843.75</v>
      </c>
      <c r="L66" s="36">
        <f>X66</f>
        <v>843.75</v>
      </c>
      <c r="M66" s="36">
        <f>Y66</f>
        <v>843.75</v>
      </c>
      <c r="N66" s="46">
        <f>SUM(N67:N71)</f>
        <v>843.75</v>
      </c>
      <c r="O66" s="46">
        <f>SUM(O67:O71)</f>
        <v>843.75</v>
      </c>
      <c r="P66" s="46">
        <f>SUM(P67:P71)</f>
        <v>843.75</v>
      </c>
      <c r="Q66" s="46">
        <f>SUM(Q67:Q71)</f>
        <v>843.75</v>
      </c>
      <c r="R66" s="46">
        <f>SUM(R67:R71)</f>
        <v>843.75</v>
      </c>
      <c r="S66" s="46">
        <f>SUM(S67:S71)</f>
        <v>843.75</v>
      </c>
      <c r="T66" s="46">
        <f>SUM(T67:T71)</f>
        <v>843.75</v>
      </c>
      <c r="U66" s="46">
        <f>SUM(U67:U71)</f>
        <v>843.75</v>
      </c>
      <c r="V66" s="46">
        <f>SUM(V67:V71)</f>
        <v>843.75</v>
      </c>
      <c r="W66" s="46">
        <f>SUM(W67:W71)</f>
        <v>843.75</v>
      </c>
      <c r="X66" s="46">
        <f>SUM(X67:X71)</f>
        <v>843.75</v>
      </c>
      <c r="Y66" s="46">
        <f>SUM(Y67:Y71)</f>
        <v>843.75</v>
      </c>
      <c r="Z66" s="46">
        <f>SUMIF($B$13:$Y$13,"Yes",B66:Y66)</f>
        <v>20250</v>
      </c>
      <c r="AA66" s="46">
        <f>SUM(B66:M66)</f>
        <v>10125</v>
      </c>
      <c r="AB66" s="46">
        <f>SUM(B66:Y66)</f>
        <v>20250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Bananas</v>
      </c>
      <c r="B68" s="36">
        <f>N68</f>
        <v>843.75</v>
      </c>
      <c r="C68" s="36">
        <f>O68</f>
        <v>843.75</v>
      </c>
      <c r="D68" s="36">
        <f>P68</f>
        <v>843.75</v>
      </c>
      <c r="E68" s="36">
        <f>Q68</f>
        <v>843.75</v>
      </c>
      <c r="F68" s="36">
        <f>R68</f>
        <v>843.75</v>
      </c>
      <c r="G68" s="36">
        <f>S68</f>
        <v>843.75</v>
      </c>
      <c r="H68" s="36">
        <f>T68</f>
        <v>843.75</v>
      </c>
      <c r="I68" s="36">
        <f>U68</f>
        <v>843.75</v>
      </c>
      <c r="J68" s="36">
        <f>V68</f>
        <v>843.75</v>
      </c>
      <c r="K68" s="36">
        <f>W68</f>
        <v>843.75</v>
      </c>
      <c r="L68" s="36">
        <f>X68</f>
        <v>843.75</v>
      </c>
      <c r="M68" s="36">
        <f>Y68</f>
        <v>843.75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843.75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843.75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843.75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843.75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843.75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843.75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843.75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843.75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843.75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843.75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843.75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843.75</v>
      </c>
      <c r="Z68" s="46">
        <f>SUMIF($B$13:$Y$13,"Yes",B68:Y68)</f>
        <v>20250</v>
      </c>
      <c r="AA68" s="46">
        <f>SUM(B68:M68)</f>
        <v>10125</v>
      </c>
      <c r="AB68" s="46">
        <f>SUM(B68:Y68)</f>
        <v>20250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91249.99999999999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10000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60000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32376.8348</v>
      </c>
      <c r="C81" s="46">
        <f>(SUM($AA$18:$AA$29)-SUM($AA$36,$AA$42,$AA$48,$AA$54,$AA$60,$AA$66,$AA$72:$AA$79))*Parameters!$B$37/12</f>
        <v>32376.8348</v>
      </c>
      <c r="D81" s="46">
        <f>(SUM($AA$18:$AA$29)-SUM($AA$36,$AA$42,$AA$48,$AA$54,$AA$60,$AA$66,$AA$72:$AA$79))*Parameters!$B$37/12</f>
        <v>32376.8348</v>
      </c>
      <c r="E81" s="46">
        <f>(SUM($AA$18:$AA$29)-SUM($AA$36,$AA$42,$AA$48,$AA$54,$AA$60,$AA$66,$AA$72:$AA$79))*Parameters!$B$37/12</f>
        <v>32376.8348</v>
      </c>
      <c r="F81" s="46">
        <f>(SUM($AA$18:$AA$29)-SUM($AA$36,$AA$42,$AA$48,$AA$54,$AA$60,$AA$66,$AA$72:$AA$79))*Parameters!$B$37/12</f>
        <v>32376.8348</v>
      </c>
      <c r="G81" s="46">
        <f>(SUM($AA$18:$AA$29)-SUM($AA$36,$AA$42,$AA$48,$AA$54,$AA$60,$AA$66,$AA$72:$AA$79))*Parameters!$B$37/12</f>
        <v>32376.8348</v>
      </c>
      <c r="H81" s="46">
        <f>(SUM($AA$18:$AA$29)-SUM($AA$36,$AA$42,$AA$48,$AA$54,$AA$60,$AA$66,$AA$72:$AA$79))*Parameters!$B$37/12</f>
        <v>32376.8348</v>
      </c>
      <c r="I81" s="46">
        <f>(SUM($AA$18:$AA$29)-SUM($AA$36,$AA$42,$AA$48,$AA$54,$AA$60,$AA$66,$AA$72:$AA$79))*Parameters!$B$37/12</f>
        <v>32376.8348</v>
      </c>
      <c r="J81" s="46">
        <f>(SUM($AA$18:$AA$29)-SUM($AA$36,$AA$42,$AA$48,$AA$54,$AA$60,$AA$66,$AA$72:$AA$79))*Parameters!$B$37/12</f>
        <v>32376.8348</v>
      </c>
      <c r="K81" s="46">
        <f>(SUM($AA$18:$AA$29)-SUM($AA$36,$AA$42,$AA$48,$AA$54,$AA$60,$AA$66,$AA$72:$AA$79))*Parameters!$B$37/12</f>
        <v>32376.8348</v>
      </c>
      <c r="L81" s="46">
        <f>(SUM($AA$18:$AA$29)-SUM($AA$36,$AA$42,$AA$48,$AA$54,$AA$60,$AA$66,$AA$72:$AA$79))*Parameters!$B$37/12</f>
        <v>32376.8348</v>
      </c>
      <c r="M81" s="46">
        <f>(SUM($AA$18:$AA$29)-SUM($AA$36,$AA$42,$AA$48,$AA$54,$AA$60,$AA$66,$AA$72:$AA$79))*Parameters!$B$37/12</f>
        <v>32376.8348</v>
      </c>
      <c r="N81" s="46">
        <f>(SUM($AA$18:$AA$29)-SUM($AA$36,$AA$42,$AA$48,$AA$54,$AA$60,$AA$66,$AA$72:$AA$79))*Parameters!$B$37/12</f>
        <v>32376.8348</v>
      </c>
      <c r="O81" s="46">
        <f>(SUM($AA$18:$AA$29)-SUM($AA$36,$AA$42,$AA$48,$AA$54,$AA$60,$AA$66,$AA$72:$AA$79))*Parameters!$B$37/12</f>
        <v>32376.8348</v>
      </c>
      <c r="P81" s="46">
        <f>(SUM($AA$18:$AA$29)-SUM($AA$36,$AA$42,$AA$48,$AA$54,$AA$60,$AA$66,$AA$72:$AA$79))*Parameters!$B$37/12</f>
        <v>32376.8348</v>
      </c>
      <c r="Q81" s="46">
        <f>(SUM($AA$18:$AA$29)-SUM($AA$36,$AA$42,$AA$48,$AA$54,$AA$60,$AA$66,$AA$72:$AA$79))*Parameters!$B$37/12</f>
        <v>32376.8348</v>
      </c>
      <c r="R81" s="46">
        <f>(SUM($AA$18:$AA$29)-SUM($AA$36,$AA$42,$AA$48,$AA$54,$AA$60,$AA$66,$AA$72:$AA$79))*Parameters!$B$37/12</f>
        <v>32376.8348</v>
      </c>
      <c r="S81" s="46">
        <f>(SUM($AA$18:$AA$29)-SUM($AA$36,$AA$42,$AA$48,$AA$54,$AA$60,$AA$66,$AA$72:$AA$79))*Parameters!$B$37/12</f>
        <v>32376.8348</v>
      </c>
      <c r="T81" s="46">
        <f>(SUM($AA$18:$AA$29)-SUM($AA$36,$AA$42,$AA$48,$AA$54,$AA$60,$AA$66,$AA$72:$AA$79))*Parameters!$B$37/12</f>
        <v>32376.8348</v>
      </c>
      <c r="U81" s="46">
        <f>(SUM($AA$18:$AA$29)-SUM($AA$36,$AA$42,$AA$48,$AA$54,$AA$60,$AA$66,$AA$72:$AA$79))*Parameters!$B$37/12</f>
        <v>32376.8348</v>
      </c>
      <c r="V81" s="46">
        <f>(SUM($AA$18:$AA$29)-SUM($AA$36,$AA$42,$AA$48,$AA$54,$AA$60,$AA$66,$AA$72:$AA$79))*Parameters!$B$37/12</f>
        <v>32376.8348</v>
      </c>
      <c r="W81" s="46">
        <f>(SUM($AA$18:$AA$29)-SUM($AA$36,$AA$42,$AA$48,$AA$54,$AA$60,$AA$66,$AA$72:$AA$79))*Parameters!$B$37/12</f>
        <v>32376.8348</v>
      </c>
      <c r="X81" s="46">
        <f>(SUM($AA$18:$AA$29)-SUM($AA$36,$AA$42,$AA$48,$AA$54,$AA$60,$AA$66,$AA$72:$AA$79))*Parameters!$B$37/12</f>
        <v>32376.8348</v>
      </c>
      <c r="Y81" s="46">
        <f>(SUM($AA$18:$AA$29)-SUM($AA$36,$AA$42,$AA$48,$AA$54,$AA$60,$AA$66,$AA$72:$AA$79))*Parameters!$B$37/12</f>
        <v>32376.8348</v>
      </c>
      <c r="Z81" s="46">
        <f>SUMIF($B$13:$Y$13,"Yes",B81:Y81)</f>
        <v>777044.0351999998</v>
      </c>
      <c r="AA81" s="46">
        <f>SUM(B81:M81)</f>
        <v>388522.0176000001</v>
      </c>
      <c r="AB81" s="46">
        <f>SUM(B81:Y81)</f>
        <v>777044.0351999998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44939.3348</v>
      </c>
      <c r="C88" s="19">
        <f>SUM(C72:C82,C66,C60,C54,C48,C42,C36)</f>
        <v>44939.3348</v>
      </c>
      <c r="D88" s="19">
        <f>SUM(D72:D82,D66,D60,D54,D48,D42,D36)</f>
        <v>44939.3348</v>
      </c>
      <c r="E88" s="19">
        <f>SUM(E72:E82,E66,E60,E54,E48,E42,E36)</f>
        <v>44939.3348</v>
      </c>
      <c r="F88" s="19">
        <f>SUM(F72:F82,F66,F60,F54,F48,F42,F36)</f>
        <v>44939.3348</v>
      </c>
      <c r="G88" s="19">
        <f>SUM(G72:G82,G66,G60,G54,G48,G42,G36)</f>
        <v>44939.3348</v>
      </c>
      <c r="H88" s="19">
        <f>SUM(H72:H82,H66,H60,H54,H48,H42,H36)</f>
        <v>44939.3348</v>
      </c>
      <c r="I88" s="19">
        <f>SUM(I72:I82,I66,I60,I54,I48,I42,I36)</f>
        <v>44939.3348</v>
      </c>
      <c r="J88" s="19">
        <f>SUM(J72:J82,J66,J60,J54,J48,J42,J36)</f>
        <v>44939.3348</v>
      </c>
      <c r="K88" s="19">
        <f>SUM(K72:K82,K66,K60,K54,K48,K42,K36)</f>
        <v>44939.3348</v>
      </c>
      <c r="L88" s="19">
        <f>SUM(L72:L82,L66,L60,L54,L48,L42,L36)</f>
        <v>44939.3348</v>
      </c>
      <c r="M88" s="19">
        <f>SUM(M72:M82,M66,M60,M54,M48,M42,M36)</f>
        <v>44939.3348</v>
      </c>
      <c r="N88" s="19">
        <f>SUM(N72:N82,N66,N60,N54,N48,N42,N36)</f>
        <v>44939.3348</v>
      </c>
      <c r="O88" s="19">
        <f>SUM(O72:O82,O66,O60,O54,O48,O42,O36)</f>
        <v>44939.3348</v>
      </c>
      <c r="P88" s="19">
        <f>SUM(P72:P82,P66,P60,P54,P48,P42,P36)</f>
        <v>44939.3348</v>
      </c>
      <c r="Q88" s="19">
        <f>SUM(Q72:Q82,Q66,Q60,Q54,Q48,Q42,Q36)</f>
        <v>44939.3348</v>
      </c>
      <c r="R88" s="19">
        <f>SUM(R72:R82,R66,R60,R54,R48,R42,R36)</f>
        <v>44939.3348</v>
      </c>
      <c r="S88" s="19">
        <f>SUM(S72:S82,S66,S60,S54,S48,S42,S36)</f>
        <v>44939.3348</v>
      </c>
      <c r="T88" s="19">
        <f>SUM(T72:T82,T66,T60,T54,T48,T42,T36)</f>
        <v>44939.3348</v>
      </c>
      <c r="U88" s="19">
        <f>SUM(U72:U82,U66,U60,U54,U48,U42,U36)</f>
        <v>44939.3348</v>
      </c>
      <c r="V88" s="19">
        <f>SUM(V72:V82,V66,V60,V54,V48,V42,V36)</f>
        <v>44939.3348</v>
      </c>
      <c r="W88" s="19">
        <f>SUM(W72:W82,W66,W60,W54,W48,W42,W36)</f>
        <v>44939.3348</v>
      </c>
      <c r="X88" s="19">
        <f>SUM(X72:X82,X66,X60,X54,X48,X42,X36)</f>
        <v>44939.3348</v>
      </c>
      <c r="Y88" s="19">
        <f>SUM(Y72:Y82,Y66,Y60,Y54,Y48,Y42,Y36)</f>
        <v>44939.3348</v>
      </c>
      <c r="Z88" s="19">
        <f>SUMIF($B$13:$Y$13,"Yes",B88:Y88)</f>
        <v>1078544.0352</v>
      </c>
      <c r="AA88" s="19">
        <f>SUM(B88:M88)</f>
        <v>539272.0176</v>
      </c>
      <c r="AB88" s="19">
        <f>SUM(B88:Y88)</f>
        <v>1078544.0352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55000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16125000</v>
      </c>
    </row>
    <row r="98" spans="1:30">
      <c r="A98" t="s">
        <v>64</v>
      </c>
      <c r="B98" s="36">
        <f>IF(Inputs!B44="Yes",Inputs!B45,0)</f>
        <v>650000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17980000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210000</v>
      </c>
    </row>
    <row r="107" spans="1:30" customHeight="1" ht="15.75">
      <c r="A107" s="1" t="s">
        <v>72</v>
      </c>
      <c r="B107" s="19">
        <f>SUM(B104:B106)</f>
        <v>225000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93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91</v>
      </c>
      <c r="I8" s="147" t="s">
        <v>91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2</v>
      </c>
      <c r="E19" s="20"/>
      <c r="F19" s="145" t="s">
        <v>109</v>
      </c>
      <c r="G19" s="20"/>
      <c r="H19" s="20"/>
      <c r="I19" s="145" t="s">
        <v>110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50000</v>
      </c>
    </row>
    <row r="31" spans="1:48">
      <c r="A31" s="5" t="s">
        <v>117</v>
      </c>
      <c r="B31" s="158">
        <v>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109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109</v>
      </c>
    </row>
    <row r="45" spans="1:48">
      <c r="A45" s="56" t="s">
        <v>130</v>
      </c>
      <c r="B45" s="161">
        <v>650000</v>
      </c>
    </row>
    <row r="46" spans="1:48" customHeight="1" ht="30">
      <c r="A46" s="57" t="s">
        <v>131</v>
      </c>
      <c r="B46" s="161">
        <v>100000</v>
      </c>
    </row>
    <row r="47" spans="1:48" customHeight="1" ht="30">
      <c r="A47" s="57" t="s">
        <v>132</v>
      </c>
      <c r="B47" s="161">
        <v>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55000</v>
      </c>
    </row>
    <row r="50" spans="1:48">
      <c r="A50" s="43"/>
      <c r="B50" s="36"/>
    </row>
    <row r="51" spans="1:48">
      <c r="A51" s="58" t="s">
        <v>135</v>
      </c>
      <c r="B51" s="161">
        <v>15000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100000</v>
      </c>
      <c r="B56" s="159">
        <v>0</v>
      </c>
      <c r="C56" s="162" t="s">
        <v>143</v>
      </c>
      <c r="D56" s="163" t="s">
        <v>144</v>
      </c>
      <c r="E56" s="163" t="s">
        <v>109</v>
      </c>
      <c r="F56" s="163" t="s">
        <v>145</v>
      </c>
    </row>
    <row r="57" spans="1:48">
      <c r="A57" s="157">
        <v>130000</v>
      </c>
      <c r="B57" s="157">
        <v>0</v>
      </c>
      <c r="C57" s="164" t="s">
        <v>146</v>
      </c>
      <c r="D57" s="165" t="s">
        <v>144</v>
      </c>
      <c r="E57" s="165" t="s">
        <v>109</v>
      </c>
      <c r="F57" s="165" t="s">
        <v>147</v>
      </c>
    </row>
    <row r="58" spans="1:48">
      <c r="A58" s="157">
        <v>200000</v>
      </c>
      <c r="B58" s="157">
        <v>0</v>
      </c>
      <c r="C58" s="164" t="s">
        <v>148</v>
      </c>
      <c r="D58" s="165" t="s">
        <v>144</v>
      </c>
      <c r="E58" s="165" t="s">
        <v>109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366911</v>
      </c>
      <c r="C66" s="163">
        <v>310256</v>
      </c>
      <c r="D66" s="49">
        <f>INDEX(Parameters!$D$79:$D$90,MATCH(Inputs!A66,Parameters!$C$79:$C$90,0))</f>
        <v>9</v>
      </c>
    </row>
    <row r="67" spans="1:48">
      <c r="A67" s="143" t="s">
        <v>153</v>
      </c>
      <c r="B67" s="157">
        <v>569898</v>
      </c>
      <c r="C67" s="165">
        <v>532014</v>
      </c>
      <c r="D67" s="49">
        <f>INDEX(Parameters!$D$79:$D$90,MATCH(Inputs!A67,Parameters!$C$79:$C$90,0))</f>
        <v>8</v>
      </c>
    </row>
    <row r="68" spans="1:48">
      <c r="A68" s="143" t="s">
        <v>154</v>
      </c>
      <c r="B68" s="157">
        <v>761671</v>
      </c>
      <c r="C68" s="165">
        <v>720145</v>
      </c>
      <c r="D68" s="49">
        <f>INDEX(Parameters!$D$79:$D$90,MATCH(Inputs!A68,Parameters!$C$79:$C$90,0))</f>
        <v>7</v>
      </c>
    </row>
    <row r="69" spans="1:48">
      <c r="A69" s="143" t="s">
        <v>155</v>
      </c>
      <c r="B69" s="157">
        <v>188332</v>
      </c>
      <c r="C69" s="165">
        <v>144210</v>
      </c>
      <c r="D69" s="49">
        <f>INDEX(Parameters!$D$79:$D$90,MATCH(Inputs!A69,Parameters!$C$79:$C$90,0))</f>
        <v>6</v>
      </c>
    </row>
    <row r="70" spans="1:48">
      <c r="A70" s="143" t="s">
        <v>156</v>
      </c>
      <c r="B70" s="157">
        <v>107839</v>
      </c>
      <c r="C70" s="165">
        <v>91250</v>
      </c>
      <c r="D70" s="49">
        <f>INDEX(Parameters!$D$79:$D$90,MATCH(Inputs!A70,Parameters!$C$79:$C$90,0))</f>
        <v>5</v>
      </c>
    </row>
    <row r="71" spans="1:48">
      <c r="A71" s="144" t="s">
        <v>157</v>
      </c>
      <c r="B71" s="158">
        <v>177465</v>
      </c>
      <c r="C71" s="167">
        <v>143456</v>
      </c>
      <c r="D71" s="49">
        <f>INDEX(Parameters!$D$79:$D$90,MATCH(Inputs!A71,Parameters!$C$79:$C$90,0))</f>
        <v>4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13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210000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24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6609.764</v>
      </c>
      <c r="M5" s="30">
        <f>L5*H5</f>
        <v>6609.764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138805.044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11250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130000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43043</v>
      </c>
      <c r="C33" s="27">
        <f>IF(B33&lt;&gt;"",IF(COUNT($A$33:A33)&lt;=$G$39,0,$G$41)+IF(COUNT($A$33:A33)&lt;=$G$40,0,$G$42),0)</f>
        <v>12250</v>
      </c>
      <c r="D33" s="170">
        <f>IFERROR(DATE(YEAR(B33),MONTH(B33),1)," ")</f>
        <v>43040</v>
      </c>
      <c r="F33" t="s">
        <v>163</v>
      </c>
      <c r="G33" s="128">
        <f>IF(Inputs!B79="","",DATE(YEAR(Inputs!B79),MONTH(Inputs!B79),DAY(Inputs!B79)))</f>
        <v>43012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43073</v>
      </c>
      <c r="C34" s="27">
        <f>IF(B34&lt;&gt;"",IF(COUNT($A$33:A34)&lt;=$G$39,0,$G$41)+IF(COUNT($A$33:A34)&lt;=$G$40,0,$G$42),0)</f>
        <v>12250</v>
      </c>
      <c r="D34" s="170">
        <f>IFERROR(DATE(YEAR(B34),MONTH(B34),1)," ")</f>
        <v>43070</v>
      </c>
      <c r="F34" t="s">
        <v>164</v>
      </c>
      <c r="G34" s="128">
        <f>IF(Inputs!B80="","",DATE(YEAR(Inputs!B80),MONTH(Inputs!B80),DAY(Inputs!B80)))</f>
        <v>43043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43104</v>
      </c>
      <c r="C35" s="27">
        <f>IF(B35&lt;&gt;"",IF(COUNT($A$33:A35)&lt;=$G$39,0,$G$41)+IF(COUNT($A$33:A35)&lt;=$G$40,0,$G$42),0)</f>
        <v>12250</v>
      </c>
      <c r="D35" s="170">
        <f>IFERROR(DATE(YEAR(B35),MONTH(B35),1)," ")</f>
        <v>43101</v>
      </c>
      <c r="F35" t="s">
        <v>166</v>
      </c>
      <c r="G35" s="27">
        <f>Inputs!B81</f>
        <v>210000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43135</v>
      </c>
      <c r="C36" s="27">
        <f>IF(B36&lt;&gt;"",IF(COUNT($A$33:A36)&lt;=$G$39,0,$G$41)+IF(COUNT($A$33:A36)&lt;=$G$40,0,$G$42),0)</f>
        <v>12250</v>
      </c>
      <c r="D36" s="170">
        <f>IFERROR(DATE(YEAR(B36),MONTH(B36),1)," ")</f>
        <v>43132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43163</v>
      </c>
      <c r="C37" s="27">
        <f>IF(B37&lt;&gt;"",IF(COUNT($A$33:A37)&lt;=$G$39,0,$G$41)+IF(COUNT($A$33:A37)&lt;=$G$40,0,$G$42),0)</f>
        <v>12250</v>
      </c>
      <c r="D37" s="170">
        <f>IFERROR(DATE(YEAR(B37),MONTH(B37),1)," ")</f>
        <v>43160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43194</v>
      </c>
      <c r="C38" s="27">
        <f>IF(B38&lt;&gt;"",IF(COUNT($A$33:A38)&lt;=$G$39,0,$G$41)+IF(COUNT($A$33:A38)&lt;=$G$40,0,$G$42),0)</f>
        <v>12250</v>
      </c>
      <c r="D38" s="170">
        <f>IFERROR(DATE(YEAR(B38),MONTH(B38),1)," ")</f>
        <v>43191</v>
      </c>
      <c r="F38" t="s">
        <v>229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43224</v>
      </c>
      <c r="C39" s="27">
        <f>IF(B39&lt;&gt;"",IF(COUNT($A$33:A39)&lt;=$G$39,0,$G$41)+IF(COUNT($A$33:A39)&lt;=$G$40,0,$G$42),0)</f>
        <v>12250</v>
      </c>
      <c r="D39" s="170">
        <f>IFERROR(DATE(YEAR(B39),MONTH(B39),1)," ")</f>
        <v>43221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43255</v>
      </c>
      <c r="C40" s="27">
        <f>IF(B40&lt;&gt;"",IF(COUNT($A$33:A40)&lt;=$G$39,0,$G$41)+IF(COUNT($A$33:A40)&lt;=$G$40,0,$G$42),0)</f>
        <v>12250</v>
      </c>
      <c r="D40" s="170">
        <f>IFERROR(DATE(YEAR(B40),MONTH(B40),1)," ")</f>
        <v>43252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43285</v>
      </c>
      <c r="C41" s="27">
        <f>IF(B41&lt;&gt;"",IF(COUNT($A$33:A41)&lt;=$G$39,0,$G$41)+IF(COUNT($A$33:A41)&lt;=$G$40,0,$G$42),0)</f>
        <v>12250</v>
      </c>
      <c r="D41" s="170">
        <f>IFERROR(DATE(YEAR(B41),MONTH(B41),1)," ")</f>
        <v>43282</v>
      </c>
      <c r="F41" t="s">
        <v>230</v>
      </c>
      <c r="G41" s="73">
        <f>IFERROR(G35/(G38-G39),"")</f>
        <v>8750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43316</v>
      </c>
      <c r="C42" s="27">
        <f>IF(B42&lt;&gt;"",IF(COUNT($A$33:A42)&lt;=$G$39,0,$G$41)+IF(COUNT($A$33:A42)&lt;=$G$40,0,$G$42),0)</f>
        <v>12250</v>
      </c>
      <c r="D42" s="170">
        <f>IFERROR(DATE(YEAR(B42),MONTH(B42),1)," ")</f>
        <v>43313</v>
      </c>
      <c r="F42" t="s">
        <v>231</v>
      </c>
      <c r="G42" s="73">
        <f>IFERROR(G35*G36*IF(G37="Monthly",G38/12,IF(G37="Fortnightly",G38/(365/14),G38/(365/28)))/(G38-G40),"")</f>
        <v>3500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43347</v>
      </c>
      <c r="C43" s="27">
        <f>IF(B43&lt;&gt;"",IF(COUNT($A$33:A43)&lt;=$G$39,0,$G$41)+IF(COUNT($A$33:A43)&lt;=$G$40,0,$G$42),0)</f>
        <v>12250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43377</v>
      </c>
      <c r="C44" s="27">
        <f>IF(B44&lt;&gt;"",IF(COUNT($A$33:A44)&lt;=$G$39,0,$G$41)+IF(COUNT($A$33:A44)&lt;=$G$40,0,$G$42),0)</f>
        <v>12250</v>
      </c>
      <c r="D44" s="170">
        <f>IFERROR(DATE(YEAR(B44),MONTH(B44),1)," ")</f>
        <v>43374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43408</v>
      </c>
      <c r="C45" s="27">
        <f>IF(B45&lt;&gt;"",IF(COUNT($A$33:A45)&lt;=$G$39,0,$G$41)+IF(COUNT($A$33:A45)&lt;=$G$40,0,$G$42),0)</f>
        <v>12250</v>
      </c>
      <c r="D45" s="170">
        <f>IFERROR(DATE(YEAR(B45),MONTH(B45),1)," ")</f>
        <v>43405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43438</v>
      </c>
      <c r="C46" s="27">
        <f>IF(B46&lt;&gt;"",IF(COUNT($A$33:A46)&lt;=$G$39,0,$G$41)+IF(COUNT($A$33:A46)&lt;=$G$40,0,$G$42),0)</f>
        <v>12250</v>
      </c>
      <c r="D46" s="170">
        <f>IFERROR(DATE(YEAR(B46),MONTH(B46),1)," ")</f>
        <v>43435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43469</v>
      </c>
      <c r="C47" s="27">
        <f>IF(B47&lt;&gt;"",IF(COUNT($A$33:A47)&lt;=$G$39,0,$G$41)+IF(COUNT($A$33:A47)&lt;=$G$40,0,$G$42),0)</f>
        <v>12250</v>
      </c>
      <c r="D47" s="170">
        <f>IFERROR(DATE(YEAR(B47),MONTH(B47),1)," ")</f>
        <v>43466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43500</v>
      </c>
      <c r="C48" s="27">
        <f>IF(B48&lt;&gt;"",IF(COUNT($A$33:A48)&lt;=$G$39,0,$G$41)+IF(COUNT($A$33:A48)&lt;=$G$40,0,$G$42),0)</f>
        <v>12250</v>
      </c>
      <c r="D48" s="170">
        <f>IFERROR(DATE(YEAR(B48),MONTH(B48),1)," ")</f>
        <v>43497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43528</v>
      </c>
      <c r="C49" s="27">
        <f>IF(B49&lt;&gt;"",IF(COUNT($A$33:A49)&lt;=$G$39,0,$G$41)+IF(COUNT($A$33:A49)&lt;=$G$40,0,$G$42),0)</f>
        <v>12250</v>
      </c>
      <c r="D49" s="170">
        <f>IFERROR(DATE(YEAR(B49),MONTH(B49),1)," ")</f>
        <v>43525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43559</v>
      </c>
      <c r="C50" s="27">
        <f>IF(B50&lt;&gt;"",IF(COUNT($A$33:A50)&lt;=$G$39,0,$G$41)+IF(COUNT($A$33:A50)&lt;=$G$40,0,$G$42),0)</f>
        <v>12250</v>
      </c>
      <c r="D50" s="170">
        <f>IFERROR(DATE(YEAR(B50),MONTH(B50),1)," ")</f>
        <v>43556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43589</v>
      </c>
      <c r="C51" s="27">
        <f>IF(B51&lt;&gt;"",IF(COUNT($A$33:A51)&lt;=$G$39,0,$G$41)+IF(COUNT($A$33:A51)&lt;=$G$40,0,$G$42),0)</f>
        <v>12250</v>
      </c>
      <c r="D51" s="170">
        <f>IFERROR(DATE(YEAR(B51),MONTH(B51),1)," ")</f>
        <v>43586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43620</v>
      </c>
      <c r="C52" s="27">
        <f>IF(B52&lt;&gt;"",IF(COUNT($A$33:A52)&lt;=$G$39,0,$G$41)+IF(COUNT($A$33:A52)&lt;=$G$40,0,$G$42),0)</f>
        <v>12250</v>
      </c>
      <c r="D52" s="170">
        <f>IFERROR(DATE(YEAR(B52),MONTH(B52),1)," ")</f>
        <v>43617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43650</v>
      </c>
      <c r="C53" s="27">
        <f>IF(B53&lt;&gt;"",IF(COUNT($A$33:A53)&lt;=$G$39,0,$G$41)+IF(COUNT($A$33:A53)&lt;=$G$40,0,$G$42),0)</f>
        <v>12250</v>
      </c>
      <c r="D53" s="170">
        <f>IFERROR(DATE(YEAR(B53),MONTH(B53),1)," ")</f>
        <v>43647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43681</v>
      </c>
      <c r="C54" s="27">
        <f>IF(B54&lt;&gt;"",IF(COUNT($A$33:A54)&lt;=$G$39,0,$G$41)+IF(COUNT($A$33:A54)&lt;=$G$40,0,$G$42),0)</f>
        <v>12250</v>
      </c>
      <c r="D54" s="170">
        <f>IFERROR(DATE(YEAR(B54),MONTH(B54),1)," ")</f>
        <v>43678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43712</v>
      </c>
      <c r="C55" s="27">
        <f>IF(B55&lt;&gt;"",IF(COUNT($A$33:A55)&lt;=$G$39,0,$G$41)+IF(COUNT($A$33:A55)&lt;=$G$40,0,$G$42),0)</f>
        <v>12250</v>
      </c>
      <c r="D55" s="170">
        <f>IFERROR(DATE(YEAR(B55),MONTH(B55),1)," ")</f>
        <v>43709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43742</v>
      </c>
      <c r="C56" s="27">
        <f>IF(B56&lt;&gt;"",IF(COUNT($A$33:A56)&lt;=$G$39,0,$G$41)+IF(COUNT($A$33:A56)&lt;=$G$40,0,$G$42),0)</f>
        <v>12250</v>
      </c>
      <c r="D56" s="170">
        <f>IFERROR(DATE(YEAR(B56),MONTH(B56),1)," ")</f>
        <v>43739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93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91</v>
      </c>
      <c r="C41" s="191" t="s">
        <v>109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316</v>
      </c>
      <c r="H52" s="12" t="s">
        <v>317</v>
      </c>
      <c r="I52" s="12" t="s">
        <v>128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109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109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109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109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109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109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109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109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109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109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109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109</v>
      </c>
      <c r="B77" s="176">
        <v>0</v>
      </c>
      <c r="C77" s="12" t="s">
        <v>351</v>
      </c>
      <c r="E77" s="12" t="s">
        <v>91</v>
      </c>
      <c r="F77" s="12" t="s">
        <v>91</v>
      </c>
      <c r="G77" s="12" t="s">
        <v>352</v>
      </c>
      <c r="H77" s="12" t="s">
        <v>317</v>
      </c>
      <c r="I77" s="12" t="s">
        <v>353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110</v>
      </c>
      <c r="H78" s="12" t="s">
        <v>128</v>
      </c>
      <c r="I78" s="12" t="s">
        <v>357</v>
      </c>
      <c r="J78" s="70" t="s">
        <v>358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169</v>
      </c>
      <c r="J79" s="70" t="s">
        <v>362</v>
      </c>
      <c r="K79" s="12" t="s">
        <v>91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109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109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156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