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<sst xmlns="http://schemas.openxmlformats.org/spreadsheetml/2006/main" uniqueCount="366">
  <si>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</si>
  <si>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</si>
  <si>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</si>
  <si>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</si>
  <si>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</si>
  <si>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</si>
  <si>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</si>
  <si>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</si>
  <si>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</si>
  <si>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</si>
  <si>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</si>
  <si>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</si>
  <si>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</si>
  <si>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</si>
  <si>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</si>
  <si>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</si>
  <si>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</si>
  <si>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</si>
  <si>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</si>
  <si>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</si>
  <si>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</si>
  <si>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</si>
  <si>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</si>
  <si>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</si>
  <si>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</si>
  <si>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</si>
  <si>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</si>
  <si>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</si>
  <si>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</si>
  <si>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</si>
  <si>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</si>
  <si>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</si>
  <si>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</si>
  <si>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</si>
  <si>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</si>
  <si>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</si>
  <si>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</si>
  <si>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</si>
  <si>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</si>
  <si>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</si>
  <si>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</si>
  <si>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</si>
  <si>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</si>
  <si>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</si>
  <si>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</si>
  <si>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</si>
  <si>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</si>
  <si>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</si>
  <si>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</si>
  <si>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</si>
  <si>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</si>
  <si>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</si>
  <si>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</si>
  <si>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</si>
  <si>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</si>
  <si>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</si>
  <si>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</si>
  <si>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</si>
  <si>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</si>
  <si>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</si>
  <si>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</si>
  <si>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</si>
  <si>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</si>
  <si>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</si>
  <si>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</si>
  <si>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</si>
  <si>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</si>
  <si>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</si>
  <si>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</si>
  <si>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</si>
  <si>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</si>
  <si>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</si>
  <si>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</si>
  <si>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</si>
  <si>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</si>
  <si>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</si>
  <si>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</si>
  <si>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</si>
  <si>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</si>
  <si>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</si>
  <si>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</si>
  <si>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</si>
  <si>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</si>
  <si>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</si>
  <si>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</si>
  <si>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</si>
  <si>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</si>
  <si>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</si>
  <si>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</si>
  <si>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</si>
  <si>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Shop_common variety</t>
  </si>
  <si>
    <t>Yes Inorganic fertizers</t>
  </si>
  <si>
    <t>Yes</t>
  </si>
  <si>
    <t>No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</si>
  <si>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</si>
  <si>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</si>
  <si>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</si>
  <si>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</si>
  <si>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</si>
  <si>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</si>
  <si>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</si>
  <si>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</si>
  <si>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</si>
  <si>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</si>
  <si>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</si>
  <si>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</si>
  <si>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</si>
  <si>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</si>
  <si>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</si>
  <si>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</si>
  <si>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</si>
  <si>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</si>
  <si>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</si>
  <si>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</si>
  <si>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</si>
  <si>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livestock trading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</si>
  <si>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</si>
  <si>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</si>
  <si>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</si>
  <si>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</si>
  <si>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</si>
  <si>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</si>
  <si>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</si>
  <si>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</si>
  <si>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</si>
  <si>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</si>
  <si>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</si>
  <si>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</si>
  <si>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</si>
  <si>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</si>
  <si>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</si>
  <si>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</si>
  <si>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</si>
  <si>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</si>
  <si>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</si>
  <si>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</si>
  <si>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</si>
  <si>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</si>
  <si>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</si>
  <si>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</si>
  <si>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</si>
  <si>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</si>
  <si>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</si>
  <si>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</si>
  <si>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</si>
  <si>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</si>
  <si>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</si>
  <si>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Loan info</t>
  </si>
  <si>
    <t>Branch ID</t>
  </si>
  <si>
    <t>Submission date</t>
  </si>
  <si>
    <t>2017/10/6</t>
  </si>
  <si>
    <t>Loan terms</t>
  </si>
  <si>
    <t>Expected disbursement date</t>
  </si>
  <si>
    <t>Expected first repayment date</t>
  </si>
  <si>
    <t>2017/11/6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</si>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</sst>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April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livestock trading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0.3217306849744897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2018</v>
      </c>
    </row>
    <row r="13" spans="1:7">
      <c r="B13" s="1" t="s">
        <v>8</v>
      </c>
      <c r="C13" s="67">
        <f>IFERROR(Output!B107/Output!B101,"")</f>
        <v>0.01204545454545454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329640.3210677087</v>
      </c>
    </row>
    <row r="18" spans="1:7">
      <c r="B18" s="1" t="s">
        <v>12</v>
      </c>
      <c r="C18" s="36">
        <f>MIN(Output!B6:M6)</f>
        <v>-56657.55751963459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500816.3109265463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1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-56657.55751963459</v>
      </c>
      <c r="C6" s="51">
        <f>C30-C88</f>
        <v>-44537.55751963459</v>
      </c>
      <c r="D6" s="51">
        <f>D30-D88</f>
        <v>-44537.55751963459</v>
      </c>
      <c r="E6" s="51">
        <f>E30-E88</f>
        <v>-56537.55751963459</v>
      </c>
      <c r="F6" s="51">
        <f>F30-F88</f>
        <v>-44537.55751963459</v>
      </c>
      <c r="G6" s="51">
        <f>G30-G88</f>
        <v>-44537.55751963459</v>
      </c>
      <c r="H6" s="51">
        <f>H30-H88</f>
        <v>500816.3109265463</v>
      </c>
      <c r="I6" s="51">
        <f>I30-I88</f>
        <v>24033.87105179397</v>
      </c>
      <c r="J6" s="51">
        <f>J30-J88</f>
        <v>24033.87105179397</v>
      </c>
      <c r="K6" s="51">
        <f>K30-K88</f>
        <v>24033.87105179397</v>
      </c>
      <c r="L6" s="51">
        <f>L30-L88</f>
        <v>24033.87105179397</v>
      </c>
      <c r="M6" s="51">
        <f>M30-M88</f>
        <v>24033.87105179397</v>
      </c>
      <c r="N6" s="51">
        <f>N30-N88</f>
        <v>-56657.55751963459</v>
      </c>
      <c r="O6" s="51">
        <f>O30-O88</f>
        <v>-44537.55751963459</v>
      </c>
      <c r="P6" s="51">
        <f>P30-P88</f>
        <v>-44537.55751963459</v>
      </c>
      <c r="Q6" s="51">
        <f>Q30-Q88</f>
        <v>-56537.55751963459</v>
      </c>
      <c r="R6" s="51">
        <f>R30-R88</f>
        <v>-44537.55751963459</v>
      </c>
      <c r="S6" s="51">
        <f>S30-S88</f>
        <v>-44537.55751963459</v>
      </c>
      <c r="T6" s="51">
        <f>T30-T88</f>
        <v>500816.3109265463</v>
      </c>
      <c r="U6" s="51">
        <f>U30-U88</f>
        <v>24033.87105179397</v>
      </c>
      <c r="V6" s="51">
        <f>V30-V88</f>
        <v>24033.87105179397</v>
      </c>
      <c r="W6" s="51">
        <f>W30-W88</f>
        <v>24033.87105179397</v>
      </c>
      <c r="X6" s="51">
        <f>X30-X88</f>
        <v>24033.87105179397</v>
      </c>
      <c r="Y6" s="51">
        <f>Y30-Y88</f>
        <v>24033.87105179397</v>
      </c>
      <c r="Z6" s="51">
        <f>SUMIF($B$13:$Y$13,"Yes",B6:Y6)</f>
        <v>272982.7635480741</v>
      </c>
      <c r="AA6" s="51">
        <f>AA30-AA88</f>
        <v>329640.3210677087</v>
      </c>
      <c r="AB6" s="51">
        <f>AB30-AB88</f>
        <v>659280.642135419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>
        <f>IF(ISERROR(VLOOKUP(MONTH(E5),Inputs!$D$66:$D$71,1,0)),"",INDEX(Inputs!$B$66:$B$71,MATCH(MONTH(Output!E5),Inputs!$D$66:$D$71,0))-INDEX(Inputs!$C$66:$C$71,MATCH(MONTH(Output!E5),Inputs!$D$66:$D$71,0)))</f>
        <v>0</v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>
        <f>IF(ISERROR(VLOOKUP(MONTH(Q5),Inputs!$D$66:$D$71,1,0)),"",INDEX(Inputs!$B$66:$B$71,MATCH(MONTH(Output!Q5),Inputs!$D$66:$D$71,0))-INDEX(Inputs!$C$66:$C$71,MATCH(MONTH(Output!Q5),Inputs!$D$66:$D$71,0)))</f>
        <v>0</v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43342.44248036541</v>
      </c>
      <c r="C11" s="80">
        <f>C6+C9-C10</f>
        <v>-54537.55751963459</v>
      </c>
      <c r="D11" s="80">
        <f>D6+D9-D10</f>
        <v>-54537.55751963459</v>
      </c>
      <c r="E11" s="80">
        <f>E6+E9-E10</f>
        <v>-66537.55751963459</v>
      </c>
      <c r="F11" s="80">
        <f>F6+F9-F10</f>
        <v>-54537.55751963459</v>
      </c>
      <c r="G11" s="80">
        <f>G6+G9-G10</f>
        <v>-54537.55751963459</v>
      </c>
      <c r="H11" s="80">
        <f>H6+H9-H10</f>
        <v>490816.3109265463</v>
      </c>
      <c r="I11" s="80">
        <f>I6+I9-I10</f>
        <v>14033.87105179397</v>
      </c>
      <c r="J11" s="80">
        <f>J6+J9-J10</f>
        <v>14033.87105179397</v>
      </c>
      <c r="K11" s="80">
        <f>K6+K9-K10</f>
        <v>14033.87105179397</v>
      </c>
      <c r="L11" s="80">
        <f>L6+L9-L10</f>
        <v>14033.87105179397</v>
      </c>
      <c r="M11" s="80">
        <f>M6+M9-M10</f>
        <v>14033.87105179397</v>
      </c>
      <c r="N11" s="80">
        <f>N6+N9-N10</f>
        <v>-66657.55751963459</v>
      </c>
      <c r="O11" s="80">
        <f>O6+O9-O10</f>
        <v>-44537.55751963459</v>
      </c>
      <c r="P11" s="80">
        <f>P6+P9-P10</f>
        <v>-44537.55751963459</v>
      </c>
      <c r="Q11" s="80">
        <f>Q6+Q9-Q10</f>
        <v>-56537.55751963459</v>
      </c>
      <c r="R11" s="80">
        <f>R6+R9-R10</f>
        <v>-44537.55751963459</v>
      </c>
      <c r="S11" s="80">
        <f>S6+S9-S10</f>
        <v>-44537.55751963459</v>
      </c>
      <c r="T11" s="80">
        <f>T6+T9-T10</f>
        <v>500816.3109265463</v>
      </c>
      <c r="U11" s="80">
        <f>U6+U9-U10</f>
        <v>24033.87105179397</v>
      </c>
      <c r="V11" s="80">
        <f>V6+V9-V10</f>
        <v>24033.87105179397</v>
      </c>
      <c r="W11" s="80">
        <f>W6+W9-W10</f>
        <v>24033.87105179397</v>
      </c>
      <c r="X11" s="80">
        <f>X6+X9-X10</f>
        <v>24033.87105179397</v>
      </c>
      <c r="Y11" s="80">
        <f>Y6+Y9-Y10</f>
        <v>24033.87105179397</v>
      </c>
      <c r="Z11" s="85">
        <f>SUMIF($B$13:$Y$13,"Yes",B11:Y11)</f>
        <v>252982.7635480741</v>
      </c>
      <c r="AA11" s="80">
        <f>SUM(B11:M11)</f>
        <v>319640.3210677087</v>
      </c>
      <c r="AB11" s="46">
        <f>SUM(B11:Y11)</f>
        <v>639280.6421354171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0.1938792540463443</v>
      </c>
      <c r="I12" s="82">
        <f>IF(I13="Yes",IF(SUM($B$10:I10)/(SUM($B$6:I6)+SUM($B$9:I9))&lt;0,999.99,SUM($B$10:I10)/(SUM($B$6:I6)+SUM($B$9:I9))),"")</f>
        <v>0.2098920083407158</v>
      </c>
      <c r="J12" s="82">
        <f>IF(J13="Yes",IF(SUM($B$10:J10)/(SUM($B$6:J6)+SUM($B$9:J9))&lt;0,999.99,SUM($B$10:J10)/(SUM($B$6:J6)+SUM($B$9:J9))),"")</f>
        <v>0.2237519972791787</v>
      </c>
      <c r="K12" s="82">
        <f>IF(K13="Yes",IF(SUM($B$10:K10)/(SUM($B$6:K6)+SUM($B$9:K9))&lt;0,999.99,SUM($B$10:K10)/(SUM($B$6:K6)+SUM($B$9:K9))),"")</f>
        <v>0.2358660054774604</v>
      </c>
      <c r="L12" s="82">
        <f>IF(L13="Yes",IF(SUM($B$10:L10)/(SUM($B$6:L6)+SUM($B$9:L9))&lt;0,999.99,SUM($B$10:L10)/(SUM($B$6:L6)+SUM($B$9:L9))),"")</f>
        <v>0.2465444028221847</v>
      </c>
      <c r="M12" s="82">
        <f>IF(M13="Yes",IF(SUM($B$10:M10)/(SUM($B$6:M6)+SUM($B$9:M9))&lt;0,999.99,SUM($B$10:M10)/(SUM($B$6:M6)+SUM($B$9:M9))),"")</f>
        <v>0.2560281114366467</v>
      </c>
      <c r="N12" s="82">
        <f>IF(N13="Yes",IF(SUM($B$10:N10)/(SUM($B$6:N6)+SUM($B$9:N9))&lt;0,999.99,SUM($B$10:N10)/(SUM($B$6:N6)+SUM($B$9:N9))),"")</f>
        <v>0.3217306849744897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545353.8684461809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545353.8684461809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545353.8684461809</v>
      </c>
      <c r="AA18" s="36">
        <f>SUM(B18:M18)</f>
        <v>545353.8684461809</v>
      </c>
      <c r="AB18" s="36">
        <f>SUM(B18:Y18)</f>
        <v>1090707.736892362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65000.00000000002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15972.22222222222</v>
      </c>
      <c r="C24" s="36">
        <f>IFERROR(Calculations!$P14/12,"")</f>
        <v>15972.22222222222</v>
      </c>
      <c r="D24" s="36">
        <f>IFERROR(Calculations!$P14/12,"")</f>
        <v>15972.22222222222</v>
      </c>
      <c r="E24" s="36">
        <f>IFERROR(Calculations!$P14/12,"")</f>
        <v>15972.22222222222</v>
      </c>
      <c r="F24" s="36">
        <f>IFERROR(Calculations!$P14/12,"")</f>
        <v>15972.22222222222</v>
      </c>
      <c r="G24" s="36">
        <f>IFERROR(Calculations!$P14/12,"")</f>
        <v>15972.22222222222</v>
      </c>
      <c r="H24" s="36">
        <f>IFERROR(Calculations!$P14/12,"")</f>
        <v>15972.22222222222</v>
      </c>
      <c r="I24" s="36">
        <f>IFERROR(Calculations!$P14/12,"")</f>
        <v>15972.22222222222</v>
      </c>
      <c r="J24" s="36">
        <f>IFERROR(Calculations!$P14/12,"")</f>
        <v>15972.22222222222</v>
      </c>
      <c r="K24" s="36">
        <f>IFERROR(Calculations!$P14/12,"")</f>
        <v>15972.22222222222</v>
      </c>
      <c r="L24" s="36">
        <f>IFERROR(Calculations!$P14/12,"")</f>
        <v>15972.22222222222</v>
      </c>
      <c r="M24" s="36">
        <f>IFERROR(Calculations!$P14/12,"")</f>
        <v>15972.22222222222</v>
      </c>
      <c r="N24" s="36">
        <f>IFERROR(Calculations!$P14/12,"")</f>
        <v>15972.22222222222</v>
      </c>
      <c r="O24" s="36">
        <f>IFERROR(Calculations!$P14/12,"")</f>
        <v>15972.22222222222</v>
      </c>
      <c r="P24" s="36">
        <f>IFERROR(Calculations!$P14/12,"")</f>
        <v>15972.22222222222</v>
      </c>
      <c r="Q24" s="36">
        <f>IFERROR(Calculations!$P14/12,"")</f>
        <v>15972.22222222222</v>
      </c>
      <c r="R24" s="36">
        <f>IFERROR(Calculations!$P14/12,"")</f>
        <v>15972.22222222222</v>
      </c>
      <c r="S24" s="36">
        <f>IFERROR(Calculations!$P14/12,"")</f>
        <v>15972.22222222222</v>
      </c>
      <c r="T24" s="36">
        <f>IFERROR(Calculations!$P14/12,"")</f>
        <v>15972.22222222222</v>
      </c>
      <c r="U24" s="36">
        <f>IFERROR(Calculations!$P14/12,"")</f>
        <v>15972.22222222222</v>
      </c>
      <c r="V24" s="36">
        <f>IFERROR(Calculations!$P14/12,"")</f>
        <v>15972.22222222222</v>
      </c>
      <c r="W24" s="36">
        <f>IFERROR(Calculations!$P14/12,"")</f>
        <v>15972.22222222222</v>
      </c>
      <c r="X24" s="36">
        <f>IFERROR(Calculations!$P14/12,"")</f>
        <v>15972.22222222222</v>
      </c>
      <c r="Y24" s="36">
        <f>IFERROR(Calculations!$P14/12,"")</f>
        <v>15972.22222222222</v>
      </c>
      <c r="Z24" s="36">
        <f>SUMIF($B$13:$Y$13,"Yes",B24:Y24)</f>
        <v>207638.8888888889</v>
      </c>
      <c r="AA24" s="36">
        <f>SUM(B24:M24)</f>
        <v>191666.6666666667</v>
      </c>
      <c r="AB24" s="46">
        <f>SUM(B24:Y24)</f>
        <v>383333.3333333335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4166.666666666667</v>
      </c>
      <c r="C25" s="36">
        <f>IFERROR(Calculations!$P15/12,"")</f>
        <v>4166.666666666667</v>
      </c>
      <c r="D25" s="36">
        <f>IFERROR(Calculations!$P15/12,"")</f>
        <v>4166.666666666667</v>
      </c>
      <c r="E25" s="36">
        <f>IFERROR(Calculations!$P15/12,"")</f>
        <v>4166.666666666667</v>
      </c>
      <c r="F25" s="36">
        <f>IFERROR(Calculations!$P15/12,"")</f>
        <v>4166.666666666667</v>
      </c>
      <c r="G25" s="36">
        <f>IFERROR(Calculations!$P15/12,"")</f>
        <v>4166.666666666667</v>
      </c>
      <c r="H25" s="36">
        <f>IFERROR(Calculations!$P15/12,"")</f>
        <v>4166.666666666667</v>
      </c>
      <c r="I25" s="36">
        <f>IFERROR(Calculations!$P15/12,"")</f>
        <v>4166.666666666667</v>
      </c>
      <c r="J25" s="36">
        <f>IFERROR(Calculations!$P15/12,"")</f>
        <v>4166.666666666667</v>
      </c>
      <c r="K25" s="36">
        <f>IFERROR(Calculations!$P15/12,"")</f>
        <v>4166.666666666667</v>
      </c>
      <c r="L25" s="36">
        <f>IFERROR(Calculations!$P15/12,"")</f>
        <v>4166.666666666667</v>
      </c>
      <c r="M25" s="36">
        <f>IFERROR(Calculations!$P15/12,"")</f>
        <v>4166.666666666667</v>
      </c>
      <c r="N25" s="36">
        <f>IFERROR(Calculations!$P15/12,"")</f>
        <v>4166.666666666667</v>
      </c>
      <c r="O25" s="36">
        <f>IFERROR(Calculations!$P15/12,"")</f>
        <v>4166.666666666667</v>
      </c>
      <c r="P25" s="36">
        <f>IFERROR(Calculations!$P15/12,"")</f>
        <v>4166.666666666667</v>
      </c>
      <c r="Q25" s="36">
        <f>IFERROR(Calculations!$P15/12,"")</f>
        <v>4166.666666666667</v>
      </c>
      <c r="R25" s="36">
        <f>IFERROR(Calculations!$P15/12,"")</f>
        <v>4166.666666666667</v>
      </c>
      <c r="S25" s="36">
        <f>IFERROR(Calculations!$P15/12,"")</f>
        <v>4166.666666666667</v>
      </c>
      <c r="T25" s="36">
        <f>IFERROR(Calculations!$P15/12,"")</f>
        <v>4166.666666666667</v>
      </c>
      <c r="U25" s="36">
        <f>IFERROR(Calculations!$P15/12,"")</f>
        <v>4166.666666666667</v>
      </c>
      <c r="V25" s="36">
        <f>IFERROR(Calculations!$P15/12,"")</f>
        <v>4166.666666666667</v>
      </c>
      <c r="W25" s="36">
        <f>IFERROR(Calculations!$P15/12,"")</f>
        <v>4166.666666666667</v>
      </c>
      <c r="X25" s="36">
        <f>IFERROR(Calculations!$P15/12,"")</f>
        <v>4166.666666666667</v>
      </c>
      <c r="Y25" s="36">
        <f>IFERROR(Calculations!$P15/12,"")</f>
        <v>4166.666666666667</v>
      </c>
      <c r="Z25" s="36">
        <f>SUMIF($B$13:$Y$13,"Yes",B25:Y25)</f>
        <v>54166.66666666666</v>
      </c>
      <c r="AA25" s="36">
        <f>SUM(B25:M25)</f>
        <v>49999.99999999999</v>
      </c>
      <c r="AB25" s="46">
        <f>SUM(B25:Y25)</f>
        <v>100000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455000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55138.88888888889</v>
      </c>
      <c r="C30" s="19">
        <f>SUM(C18:C29)</f>
        <v>55138.88888888889</v>
      </c>
      <c r="D30" s="19">
        <f>SUM(D18:D29)</f>
        <v>55138.88888888889</v>
      </c>
      <c r="E30" s="19">
        <f>SUM(E18:E29)</f>
        <v>55138.88888888889</v>
      </c>
      <c r="F30" s="19">
        <f>SUM(F18:F29)</f>
        <v>55138.88888888889</v>
      </c>
      <c r="G30" s="19">
        <f>SUM(G18:G29)</f>
        <v>55138.88888888889</v>
      </c>
      <c r="H30" s="19">
        <f>SUM(H18:H29)</f>
        <v>600492.7573350698</v>
      </c>
      <c r="I30" s="19">
        <f>SUM(I18:I29)</f>
        <v>55138.88888888889</v>
      </c>
      <c r="J30" s="19">
        <f>SUM(J18:J29)</f>
        <v>55138.88888888889</v>
      </c>
      <c r="K30" s="19">
        <f>SUM(K18:K29)</f>
        <v>55138.88888888889</v>
      </c>
      <c r="L30" s="19">
        <f>SUM(L18:L29)</f>
        <v>55138.88888888889</v>
      </c>
      <c r="M30" s="19">
        <f>SUM(M18:M29)</f>
        <v>55138.88888888889</v>
      </c>
      <c r="N30" s="19">
        <f>SUM(N18:N29)</f>
        <v>55138.88888888889</v>
      </c>
      <c r="O30" s="19">
        <f>SUM(O18:O29)</f>
        <v>55138.88888888889</v>
      </c>
      <c r="P30" s="19">
        <f>SUM(P18:P29)</f>
        <v>55138.88888888889</v>
      </c>
      <c r="Q30" s="19">
        <f>SUM(Q18:Q29)</f>
        <v>55138.88888888889</v>
      </c>
      <c r="R30" s="19">
        <f>SUM(R18:R29)</f>
        <v>55138.88888888889</v>
      </c>
      <c r="S30" s="19">
        <f>SUM(S18:S29)</f>
        <v>55138.88888888889</v>
      </c>
      <c r="T30" s="19">
        <f>SUM(T18:T29)</f>
        <v>600492.7573350698</v>
      </c>
      <c r="U30" s="19">
        <f>SUM(U18:U29)</f>
        <v>55138.88888888889</v>
      </c>
      <c r="V30" s="19">
        <f>SUM(V18:V29)</f>
        <v>55138.88888888889</v>
      </c>
      <c r="W30" s="19">
        <f>SUM(W18:W29)</f>
        <v>55138.88888888889</v>
      </c>
      <c r="X30" s="19">
        <f>SUM(X18:X29)</f>
        <v>55138.88888888889</v>
      </c>
      <c r="Y30" s="19">
        <f>SUM(Y18:Y29)</f>
        <v>55138.88888888889</v>
      </c>
      <c r="Z30" s="19">
        <f>SUMIF($B$13:$Y$13,"Yes",B30:Y30)</f>
        <v>1262159.424001737</v>
      </c>
      <c r="AA30" s="19">
        <f>SUM(B30:M30)</f>
        <v>1207020.535112848</v>
      </c>
      <c r="AB30" s="19">
        <f>SUM(B30:Y30)</f>
        <v>2414041.070225697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12120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12120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24240</v>
      </c>
      <c r="AA42" s="36">
        <f>SUM(B42:M42)</f>
        <v>12120</v>
      </c>
      <c r="AB42" s="36">
        <f>SUM(B42:Y42)</f>
        <v>24240</v>
      </c>
    </row>
    <row r="43" spans="1:30" hidden="true" outlineLevel="1">
      <c r="A43" s="181" t="str">
        <f>Calculations!$A$4</f>
        <v>Maize</v>
      </c>
      <c r="B43" s="36">
        <f>N43</f>
        <v>12120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12120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24240</v>
      </c>
      <c r="AA43" s="36">
        <f>SUM(B43:M43)</f>
        <v>12120</v>
      </c>
      <c r="AB43" s="36">
        <f>SUM(B43:Y43)</f>
        <v>24240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12000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12000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12000</v>
      </c>
      <c r="AA48" s="46">
        <f>SUM(B48:M48)</f>
        <v>12000</v>
      </c>
      <c r="AB48" s="46">
        <f>SUM(B48:Y48)</f>
        <v>24000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12000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12000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12000</v>
      </c>
      <c r="AA49" s="46">
        <f>SUM(B49:M49)</f>
        <v>12000</v>
      </c>
      <c r="AB49" s="46">
        <f>SUM(B49:Y49)</f>
        <v>24000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68571.42857142857</v>
      </c>
      <c r="C66" s="36">
        <f>O66</f>
        <v>68571.42857142857</v>
      </c>
      <c r="D66" s="36">
        <f>P66</f>
        <v>68571.42857142857</v>
      </c>
      <c r="E66" s="36">
        <f>Q66</f>
        <v>68571.42857142857</v>
      </c>
      <c r="F66" s="36">
        <f>R66</f>
        <v>68571.42857142857</v>
      </c>
      <c r="G66" s="36">
        <f>S66</f>
        <v>68571.42857142857</v>
      </c>
      <c r="H66" s="36">
        <f>T66</f>
        <v>68571.42857142857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68571.42857142857</v>
      </c>
      <c r="O66" s="46">
        <f>SUM(O67:O71)</f>
        <v>68571.42857142857</v>
      </c>
      <c r="P66" s="46">
        <f>SUM(P67:P71)</f>
        <v>68571.42857142857</v>
      </c>
      <c r="Q66" s="46">
        <f>SUM(Q67:Q71)</f>
        <v>68571.42857142857</v>
      </c>
      <c r="R66" s="46">
        <f>SUM(R67:R71)</f>
        <v>68571.42857142857</v>
      </c>
      <c r="S66" s="46">
        <f>SUM(S67:S71)</f>
        <v>68571.42857142857</v>
      </c>
      <c r="T66" s="46">
        <f>SUM(T67:T71)</f>
        <v>68571.42857142857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548571.4285714285</v>
      </c>
      <c r="AA66" s="46">
        <f>SUM(B66:M66)</f>
        <v>480000</v>
      </c>
      <c r="AB66" s="46">
        <f>SUM(B66:Y66)</f>
        <v>959999.9999999997</v>
      </c>
    </row>
    <row r="67" spans="1:30" hidden="true" outlineLevel="1">
      <c r="A67" s="181" t="str">
        <f>Calculations!$A$4</f>
        <v>Maize</v>
      </c>
      <c r="B67" s="36">
        <f>N67</f>
        <v>68571.42857142857</v>
      </c>
      <c r="C67" s="36">
        <f>O67</f>
        <v>68571.42857142857</v>
      </c>
      <c r="D67" s="36">
        <f>P67</f>
        <v>68571.42857142857</v>
      </c>
      <c r="E67" s="36">
        <f>Q67</f>
        <v>68571.42857142857</v>
      </c>
      <c r="F67" s="36">
        <f>R67</f>
        <v>68571.42857142857</v>
      </c>
      <c r="G67" s="36">
        <f>S67</f>
        <v>68571.42857142857</v>
      </c>
      <c r="H67" s="36">
        <f>T67</f>
        <v>68571.42857142857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68571.42857142857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68571.42857142857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68571.42857142857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68571.42857142857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68571.42857142857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68571.42857142857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68571.42857142857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548571.4285714285</v>
      </c>
      <c r="AA67" s="46">
        <f>SUM(B67:M67)</f>
        <v>480000</v>
      </c>
      <c r="AB67" s="46">
        <f>SUM(B67:Y67)</f>
        <v>959999.9999999997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2083.333333333333</v>
      </c>
      <c r="C75" s="46">
        <f>SUM(Calculations!$R$14:$R$16)/12</f>
        <v>2083.333333333333</v>
      </c>
      <c r="D75" s="46">
        <f>SUM(Calculations!$R$14:$R$16)/12</f>
        <v>2083.333333333333</v>
      </c>
      <c r="E75" s="46">
        <f>SUM(Calculations!$R$14:$R$16)/12</f>
        <v>2083.333333333333</v>
      </c>
      <c r="F75" s="46">
        <f>SUM(Calculations!$R$14:$R$16)/12</f>
        <v>2083.333333333333</v>
      </c>
      <c r="G75" s="46">
        <f>SUM(Calculations!$R$14:$R$16)/12</f>
        <v>2083.333333333333</v>
      </c>
      <c r="H75" s="46">
        <f>SUM(Calculations!$R$14:$R$16)/12</f>
        <v>2083.333333333333</v>
      </c>
      <c r="I75" s="46">
        <f>SUM(Calculations!$R$14:$R$16)/12</f>
        <v>2083.333333333333</v>
      </c>
      <c r="J75" s="46">
        <f>SUM(Calculations!$R$14:$R$16)/12</f>
        <v>2083.333333333333</v>
      </c>
      <c r="K75" s="46">
        <f>SUM(Calculations!$R$14:$R$16)/12</f>
        <v>2083.333333333333</v>
      </c>
      <c r="L75" s="46">
        <f>SUM(Calculations!$R$14:$R$16)/12</f>
        <v>2083.333333333333</v>
      </c>
      <c r="M75" s="46">
        <f>SUM(Calculations!$R$14:$R$16)/12</f>
        <v>2083.333333333333</v>
      </c>
      <c r="N75" s="46">
        <f>SUM(Calculations!$R$14:$R$16)/12</f>
        <v>2083.333333333333</v>
      </c>
      <c r="O75" s="46">
        <f>SUM(Calculations!$R$14:$R$16)/12</f>
        <v>2083.333333333333</v>
      </c>
      <c r="P75" s="46">
        <f>SUM(Calculations!$R$14:$R$16)/12</f>
        <v>2083.333333333333</v>
      </c>
      <c r="Q75" s="46">
        <f>SUM(Calculations!$R$14:$R$16)/12</f>
        <v>2083.333333333333</v>
      </c>
      <c r="R75" s="46">
        <f>SUM(Calculations!$R$14:$R$16)/12</f>
        <v>2083.333333333333</v>
      </c>
      <c r="S75" s="46">
        <f>SUM(Calculations!$R$14:$R$16)/12</f>
        <v>2083.333333333333</v>
      </c>
      <c r="T75" s="46">
        <f>SUM(Calculations!$R$14:$R$16)/12</f>
        <v>2083.333333333333</v>
      </c>
      <c r="U75" s="46">
        <f>SUM(Calculations!$R$14:$R$16)/12</f>
        <v>2083.333333333333</v>
      </c>
      <c r="V75" s="46">
        <f>SUM(Calculations!$R$14:$R$16)/12</f>
        <v>2083.333333333333</v>
      </c>
      <c r="W75" s="46">
        <f>SUM(Calculations!$R$14:$R$16)/12</f>
        <v>2083.333333333333</v>
      </c>
      <c r="X75" s="46">
        <f>SUM(Calculations!$R$14:$R$16)/12</f>
        <v>2083.333333333333</v>
      </c>
      <c r="Y75" s="46">
        <f>SUM(Calculations!$R$14:$R$16)/12</f>
        <v>2083.333333333333</v>
      </c>
      <c r="Z75" s="46">
        <f>SUMIF($B$13:$Y$13,"Yes",B75:Y75)</f>
        <v>27083.33333333333</v>
      </c>
      <c r="AA75" s="46">
        <f>SUM(B75:M75)</f>
        <v>25000</v>
      </c>
      <c r="AB75" s="46">
        <f>SUM(B75:Y75)</f>
        <v>50000.00000000001</v>
      </c>
    </row>
    <row r="76" spans="1:30">
      <c r="A76" s="16" t="s">
        <v>48</v>
      </c>
      <c r="B76" s="46">
        <f>SUM(Calculations!$S$14:$S$16)/12</f>
        <v>2708.333333333333</v>
      </c>
      <c r="C76" s="46">
        <f>SUM(Calculations!$S$14:$S$16)/12</f>
        <v>2708.333333333333</v>
      </c>
      <c r="D76" s="46">
        <f>SUM(Calculations!$S$14:$S$16)/12</f>
        <v>2708.333333333333</v>
      </c>
      <c r="E76" s="46">
        <f>SUM(Calculations!$S$14:$S$16)/12</f>
        <v>2708.333333333333</v>
      </c>
      <c r="F76" s="46">
        <f>SUM(Calculations!$S$14:$S$16)/12</f>
        <v>2708.333333333333</v>
      </c>
      <c r="G76" s="46">
        <f>SUM(Calculations!$S$14:$S$16)/12</f>
        <v>2708.333333333333</v>
      </c>
      <c r="H76" s="46">
        <f>SUM(Calculations!$S$14:$S$16)/12</f>
        <v>2708.333333333333</v>
      </c>
      <c r="I76" s="46">
        <f>SUM(Calculations!$S$14:$S$16)/12</f>
        <v>2708.333333333333</v>
      </c>
      <c r="J76" s="46">
        <f>SUM(Calculations!$S$14:$S$16)/12</f>
        <v>2708.333333333333</v>
      </c>
      <c r="K76" s="46">
        <f>SUM(Calculations!$S$14:$S$16)/12</f>
        <v>2708.333333333333</v>
      </c>
      <c r="L76" s="46">
        <f>SUM(Calculations!$S$14:$S$16)/12</f>
        <v>2708.333333333333</v>
      </c>
      <c r="M76" s="46">
        <f>SUM(Calculations!$S$14:$S$16)/12</f>
        <v>2708.333333333333</v>
      </c>
      <c r="N76" s="46">
        <f>SUM(Calculations!$S$14:$S$16)/12</f>
        <v>2708.333333333333</v>
      </c>
      <c r="O76" s="46">
        <f>SUM(Calculations!$S$14:$S$16)/12</f>
        <v>2708.333333333333</v>
      </c>
      <c r="P76" s="46">
        <f>SUM(Calculations!$S$14:$S$16)/12</f>
        <v>2708.333333333333</v>
      </c>
      <c r="Q76" s="46">
        <f>SUM(Calculations!$S$14:$S$16)/12</f>
        <v>2708.333333333333</v>
      </c>
      <c r="R76" s="46">
        <f>SUM(Calculations!$S$14:$S$16)/12</f>
        <v>2708.333333333333</v>
      </c>
      <c r="S76" s="46">
        <f>SUM(Calculations!$S$14:$S$16)/12</f>
        <v>2708.333333333333</v>
      </c>
      <c r="T76" s="46">
        <f>SUM(Calculations!$S$14:$S$16)/12</f>
        <v>2708.333333333333</v>
      </c>
      <c r="U76" s="46">
        <f>SUM(Calculations!$S$14:$S$16)/12</f>
        <v>2708.333333333333</v>
      </c>
      <c r="V76" s="46">
        <f>SUM(Calculations!$S$14:$S$16)/12</f>
        <v>2708.333333333333</v>
      </c>
      <c r="W76" s="46">
        <f>SUM(Calculations!$S$14:$S$16)/12</f>
        <v>2708.333333333333</v>
      </c>
      <c r="X76" s="46">
        <f>SUM(Calculations!$S$14:$S$16)/12</f>
        <v>2708.333333333333</v>
      </c>
      <c r="Y76" s="46">
        <f>SUM(Calculations!$S$14:$S$16)/12</f>
        <v>2708.333333333333</v>
      </c>
      <c r="Z76" s="46">
        <f>SUMIF($B$13:$Y$13,"Yes",B76:Y76)</f>
        <v>35208.33333333333</v>
      </c>
      <c r="AA76" s="46">
        <f>SUM(B76:M76)</f>
        <v>32500</v>
      </c>
      <c r="AB76" s="46">
        <f>SUM(B76:Y76)</f>
        <v>65000.00000000002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104000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18313.35117042825</v>
      </c>
      <c r="C81" s="46">
        <f>(SUM($AA$18:$AA$29)-SUM($AA$36,$AA$42,$AA$48,$AA$54,$AA$60,$AA$66,$AA$72:$AA$79))*Parameters!$B$37/12</f>
        <v>18313.35117042825</v>
      </c>
      <c r="D81" s="46">
        <f>(SUM($AA$18:$AA$29)-SUM($AA$36,$AA$42,$AA$48,$AA$54,$AA$60,$AA$66,$AA$72:$AA$79))*Parameters!$B$37/12</f>
        <v>18313.35117042825</v>
      </c>
      <c r="E81" s="46">
        <f>(SUM($AA$18:$AA$29)-SUM($AA$36,$AA$42,$AA$48,$AA$54,$AA$60,$AA$66,$AA$72:$AA$79))*Parameters!$B$37/12</f>
        <v>18313.35117042825</v>
      </c>
      <c r="F81" s="46">
        <f>(SUM($AA$18:$AA$29)-SUM($AA$36,$AA$42,$AA$48,$AA$54,$AA$60,$AA$66,$AA$72:$AA$79))*Parameters!$B$37/12</f>
        <v>18313.35117042825</v>
      </c>
      <c r="G81" s="46">
        <f>(SUM($AA$18:$AA$29)-SUM($AA$36,$AA$42,$AA$48,$AA$54,$AA$60,$AA$66,$AA$72:$AA$79))*Parameters!$B$37/12</f>
        <v>18313.35117042825</v>
      </c>
      <c r="H81" s="46">
        <f>(SUM($AA$18:$AA$29)-SUM($AA$36,$AA$42,$AA$48,$AA$54,$AA$60,$AA$66,$AA$72:$AA$79))*Parameters!$B$37/12</f>
        <v>18313.35117042825</v>
      </c>
      <c r="I81" s="46">
        <f>(SUM($AA$18:$AA$29)-SUM($AA$36,$AA$42,$AA$48,$AA$54,$AA$60,$AA$66,$AA$72:$AA$79))*Parameters!$B$37/12</f>
        <v>18313.35117042825</v>
      </c>
      <c r="J81" s="46">
        <f>(SUM($AA$18:$AA$29)-SUM($AA$36,$AA$42,$AA$48,$AA$54,$AA$60,$AA$66,$AA$72:$AA$79))*Parameters!$B$37/12</f>
        <v>18313.35117042825</v>
      </c>
      <c r="K81" s="46">
        <f>(SUM($AA$18:$AA$29)-SUM($AA$36,$AA$42,$AA$48,$AA$54,$AA$60,$AA$66,$AA$72:$AA$79))*Parameters!$B$37/12</f>
        <v>18313.35117042825</v>
      </c>
      <c r="L81" s="46">
        <f>(SUM($AA$18:$AA$29)-SUM($AA$36,$AA$42,$AA$48,$AA$54,$AA$60,$AA$66,$AA$72:$AA$79))*Parameters!$B$37/12</f>
        <v>18313.35117042825</v>
      </c>
      <c r="M81" s="46">
        <f>(SUM($AA$18:$AA$29)-SUM($AA$36,$AA$42,$AA$48,$AA$54,$AA$60,$AA$66,$AA$72:$AA$79))*Parameters!$B$37/12</f>
        <v>18313.35117042825</v>
      </c>
      <c r="N81" s="46">
        <f>(SUM($AA$18:$AA$29)-SUM($AA$36,$AA$42,$AA$48,$AA$54,$AA$60,$AA$66,$AA$72:$AA$79))*Parameters!$B$37/12</f>
        <v>18313.35117042825</v>
      </c>
      <c r="O81" s="46">
        <f>(SUM($AA$18:$AA$29)-SUM($AA$36,$AA$42,$AA$48,$AA$54,$AA$60,$AA$66,$AA$72:$AA$79))*Parameters!$B$37/12</f>
        <v>18313.35117042825</v>
      </c>
      <c r="P81" s="46">
        <f>(SUM($AA$18:$AA$29)-SUM($AA$36,$AA$42,$AA$48,$AA$54,$AA$60,$AA$66,$AA$72:$AA$79))*Parameters!$B$37/12</f>
        <v>18313.35117042825</v>
      </c>
      <c r="Q81" s="46">
        <f>(SUM($AA$18:$AA$29)-SUM($AA$36,$AA$42,$AA$48,$AA$54,$AA$60,$AA$66,$AA$72:$AA$79))*Parameters!$B$37/12</f>
        <v>18313.35117042825</v>
      </c>
      <c r="R81" s="46">
        <f>(SUM($AA$18:$AA$29)-SUM($AA$36,$AA$42,$AA$48,$AA$54,$AA$60,$AA$66,$AA$72:$AA$79))*Parameters!$B$37/12</f>
        <v>18313.35117042825</v>
      </c>
      <c r="S81" s="46">
        <f>(SUM($AA$18:$AA$29)-SUM($AA$36,$AA$42,$AA$48,$AA$54,$AA$60,$AA$66,$AA$72:$AA$79))*Parameters!$B$37/12</f>
        <v>18313.35117042825</v>
      </c>
      <c r="T81" s="46">
        <f>(SUM($AA$18:$AA$29)-SUM($AA$36,$AA$42,$AA$48,$AA$54,$AA$60,$AA$66,$AA$72:$AA$79))*Parameters!$B$37/12</f>
        <v>18313.35117042825</v>
      </c>
      <c r="U81" s="46">
        <f>(SUM($AA$18:$AA$29)-SUM($AA$36,$AA$42,$AA$48,$AA$54,$AA$60,$AA$66,$AA$72:$AA$79))*Parameters!$B$37/12</f>
        <v>18313.35117042825</v>
      </c>
      <c r="V81" s="46">
        <f>(SUM($AA$18:$AA$29)-SUM($AA$36,$AA$42,$AA$48,$AA$54,$AA$60,$AA$66,$AA$72:$AA$79))*Parameters!$B$37/12</f>
        <v>18313.35117042825</v>
      </c>
      <c r="W81" s="46">
        <f>(SUM($AA$18:$AA$29)-SUM($AA$36,$AA$42,$AA$48,$AA$54,$AA$60,$AA$66,$AA$72:$AA$79))*Parameters!$B$37/12</f>
        <v>18313.35117042825</v>
      </c>
      <c r="X81" s="46">
        <f>(SUM($AA$18:$AA$29)-SUM($AA$36,$AA$42,$AA$48,$AA$54,$AA$60,$AA$66,$AA$72:$AA$79))*Parameters!$B$37/12</f>
        <v>18313.35117042825</v>
      </c>
      <c r="Y81" s="46">
        <f>(SUM($AA$18:$AA$29)-SUM($AA$36,$AA$42,$AA$48,$AA$54,$AA$60,$AA$66,$AA$72:$AA$79))*Parameters!$B$37/12</f>
        <v>18313.35117042825</v>
      </c>
      <c r="Z81" s="46">
        <f>SUMIF($B$13:$Y$13,"Yes",B81:Y81)</f>
        <v>238073.5652155672</v>
      </c>
      <c r="AA81" s="46">
        <f>SUM(B81:M81)</f>
        <v>219760.214045139</v>
      </c>
      <c r="AB81" s="46">
        <f>SUM(B81:Y81)</f>
        <v>439520.4280902782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111796.4464085235</v>
      </c>
      <c r="C88" s="19">
        <f>SUM(C72:C82,C66,C60,C54,C48,C42,C36)</f>
        <v>99676.44640852348</v>
      </c>
      <c r="D88" s="19">
        <f>SUM(D72:D82,D66,D60,D54,D48,D42,D36)</f>
        <v>99676.44640852348</v>
      </c>
      <c r="E88" s="19">
        <f>SUM(E72:E82,E66,E60,E54,E48,E42,E36)</f>
        <v>111676.4464085235</v>
      </c>
      <c r="F88" s="19">
        <f>SUM(F72:F82,F66,F60,F54,F48,F42,F36)</f>
        <v>99676.44640852348</v>
      </c>
      <c r="G88" s="19">
        <f>SUM(G72:G82,G66,G60,G54,G48,G42,G36)</f>
        <v>99676.44640852348</v>
      </c>
      <c r="H88" s="19">
        <f>SUM(H72:H82,H66,H60,H54,H48,H42,H36)</f>
        <v>99676.44640852348</v>
      </c>
      <c r="I88" s="19">
        <f>SUM(I72:I82,I66,I60,I54,I48,I42,I36)</f>
        <v>31105.01783709492</v>
      </c>
      <c r="J88" s="19">
        <f>SUM(J72:J82,J66,J60,J54,J48,J42,J36)</f>
        <v>31105.01783709492</v>
      </c>
      <c r="K88" s="19">
        <f>SUM(K72:K82,K66,K60,K54,K48,K42,K36)</f>
        <v>31105.01783709492</v>
      </c>
      <c r="L88" s="19">
        <f>SUM(L72:L82,L66,L60,L54,L48,L42,L36)</f>
        <v>31105.01783709492</v>
      </c>
      <c r="M88" s="19">
        <f>SUM(M72:M82,M66,M60,M54,M48,M42,M36)</f>
        <v>31105.01783709492</v>
      </c>
      <c r="N88" s="19">
        <f>SUM(N72:N82,N66,N60,N54,N48,N42,N36)</f>
        <v>111796.4464085235</v>
      </c>
      <c r="O88" s="19">
        <f>SUM(O72:O82,O66,O60,O54,O48,O42,O36)</f>
        <v>99676.44640852348</v>
      </c>
      <c r="P88" s="19">
        <f>SUM(P72:P82,P66,P60,P54,P48,P42,P36)</f>
        <v>99676.44640852348</v>
      </c>
      <c r="Q88" s="19">
        <f>SUM(Q72:Q82,Q66,Q60,Q54,Q48,Q42,Q36)</f>
        <v>111676.4464085235</v>
      </c>
      <c r="R88" s="19">
        <f>SUM(R72:R82,R66,R60,R54,R48,R42,R36)</f>
        <v>99676.44640852348</v>
      </c>
      <c r="S88" s="19">
        <f>SUM(S72:S82,S66,S60,S54,S48,S42,S36)</f>
        <v>99676.44640852348</v>
      </c>
      <c r="T88" s="19">
        <f>SUM(T72:T82,T66,T60,T54,T48,T42,T36)</f>
        <v>99676.44640852348</v>
      </c>
      <c r="U88" s="19">
        <f>SUM(U72:U82,U66,U60,U54,U48,U42,U36)</f>
        <v>31105.01783709492</v>
      </c>
      <c r="V88" s="19">
        <f>SUM(V72:V82,V66,V60,V54,V48,V42,V36)</f>
        <v>31105.01783709492</v>
      </c>
      <c r="W88" s="19">
        <f>SUM(W72:W82,W66,W60,W54,W48,W42,W36)</f>
        <v>31105.01783709492</v>
      </c>
      <c r="X88" s="19">
        <f>SUM(X72:X82,X66,X60,X54,X48,X42,X36)</f>
        <v>31105.01783709492</v>
      </c>
      <c r="Y88" s="19">
        <f>SUM(Y72:Y82,Y66,Y60,Y54,Y48,Y42,Y36)</f>
        <v>31105.01783709492</v>
      </c>
      <c r="Z88" s="19">
        <f>SUMIF($B$13:$Y$13,"Yes",B88:Y88)</f>
        <v>989176.6604536626</v>
      </c>
      <c r="AA88" s="19">
        <f>SUM(B88:M88)</f>
        <v>877380.2140451391</v>
      </c>
      <c r="AB88" s="19">
        <f>SUM(B88:Y88)</f>
        <v>1754760.428090278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925000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5500000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1400000</v>
      </c>
    </row>
    <row r="101" spans="1:30" customHeight="1" ht="15.75">
      <c r="A101" s="1" t="s">
        <v>67</v>
      </c>
      <c r="B101" s="19">
        <f>SUM(B94:B100)</f>
        <v>8800000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25</v>
      </c>
      <c r="D19" s="145"/>
      <c r="E19" s="20"/>
      <c r="F19" s="145" t="s">
        <v>93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50</v>
      </c>
      <c r="D20" s="147"/>
      <c r="E20" s="16"/>
      <c r="F20" s="147" t="s">
        <v>93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35000</v>
      </c>
    </row>
    <row r="31" spans="1:48">
      <c r="A31" s="5" t="s">
        <v>117</v>
      </c>
      <c r="B31" s="158">
        <v>8000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350000</v>
      </c>
    </row>
    <row r="46" spans="1:48" customHeight="1" ht="30">
      <c r="A46" s="57" t="s">
        <v>131</v>
      </c>
      <c r="B46" s="161">
        <v>350000</v>
      </c>
    </row>
    <row r="47" spans="1:48" customHeight="1" ht="30">
      <c r="A47" s="57" t="s">
        <v>132</v>
      </c>
      <c r="B47" s="161">
        <v>250000</v>
      </c>
    </row>
    <row r="48" spans="1:48" customHeight="1" ht="30">
      <c r="A48" s="57" t="s">
        <v>133</v>
      </c>
      <c r="B48" s="161">
        <v>1400000</v>
      </c>
    </row>
    <row r="49" spans="1:48" customHeight="1" ht="30">
      <c r="A49" s="57" t="s">
        <v>134</v>
      </c>
      <c r="B49" s="161">
        <v>25000</v>
      </c>
    </row>
    <row r="50" spans="1:48">
      <c r="A50" s="43"/>
      <c r="B50" s="36"/>
    </row>
    <row r="51" spans="1:48">
      <c r="A51" s="58" t="s">
        <v>135</v>
      </c>
      <c r="B51" s="161">
        <v>6000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0</v>
      </c>
      <c r="C66" s="163">
        <v>0</v>
      </c>
      <c r="D66" s="49">
        <f>INDEX(Parameters!$D$79:$D$90,MATCH(Inputs!A66,Parameters!$C$79:$C$90,0))</f>
        <v>1</v>
      </c>
    </row>
    <row r="67" spans="1:48">
      <c r="A67" s="143" t="s">
        <v>146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146</v>
      </c>
      <c r="B68" s="157">
        <v>0</v>
      </c>
      <c r="C68" s="165">
        <v>0</v>
      </c>
      <c r="D68" s="49">
        <f>INDEX(Parameters!$D$79:$D$90,MATCH(Inputs!A68,Parameters!$C$79:$C$90,0))</f>
        <v>1</v>
      </c>
    </row>
    <row r="69" spans="1:48">
      <c r="A69" s="143" t="s">
        <v>146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146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146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15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43101</v>
      </c>
      <c r="D4" s="38">
        <f>IFERROR(DATE(YEAR(B4),MONTH(B4)+T4,DAY(B4)),"")</f>
        <v>43191</v>
      </c>
      <c r="E4" s="38">
        <f>IFERROR(IF($S4=0,"",IF($S4=2,DATE(YEAR(B4),MONTH(B4)+6,DAY(B4)),IF($S4=1,B4,""))),"")</f>
        <v>43009</v>
      </c>
      <c r="F4" s="38">
        <f>IFERROR(IF($S4=0,"",IF($S4=2,DATE(YEAR(C4),MONTH(C4)+6,DAY(C4)),IF($S4=1,C4,""))),"")</f>
        <v>43101</v>
      </c>
      <c r="G4" s="38">
        <f>IFERROR(IF($S4=0,"",IF($S4=2,DATE(YEAR(D4),MONTH(D4)+6,DAY(D4)),IF($S4=1,D4,""))),"")</f>
        <v>43191</v>
      </c>
      <c r="H4" s="20">
        <f>Inputs!C7</f>
        <v>20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1298.461591538526</v>
      </c>
      <c r="M4" s="25">
        <f>L4*H4</f>
        <v>25969.23183077052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545353.8684461809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6060.000000000001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240000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10</v>
      </c>
      <c r="AD5" s="22">
        <f>IF($A5=0,1/12,IFERROR(INDEX(Parameters!$X$2:$AI$17,MATCH(Calculations!$A5,Parameters!$A$2:$A$17,0),MONTH(Calculations!AD$3)),1/12))</f>
        <v>11</v>
      </c>
      <c r="AE5" s="22">
        <f>IF($A5=0,1/12,IFERROR(INDEX(Parameters!$X$2:$AI$17,MATCH(Calculations!$A5,Parameters!$A$2:$A$17,0),MONTH(Calculations!AE$3)),1/12))</f>
        <v>12</v>
      </c>
      <c r="AF5" s="22">
        <f>IF($A5=0,1/12,IFERROR(INDEX(Parameters!$X$2:$AI$17,MATCH(Calculations!$A5,Parameters!$A$2:$A$17,0),MONTH(Calculations!AF$3)),1/12))</f>
        <v>1</v>
      </c>
      <c r="AG5" s="22">
        <f>IF($A5=0,1/12,IFERROR(INDEX(Parameters!$X$2:$AI$17,MATCH(Calculations!$A5,Parameters!$A$2:$A$17,0),MONTH(Calculations!AG$3)),1/12))</f>
        <v>2</v>
      </c>
      <c r="AH5" s="22">
        <f>IF($A5=0,1/12,IFERROR(INDEX(Parameters!$X$2:$AI$17,MATCH(Calculations!$A5,Parameters!$A$2:$A$17,0),MONTH(Calculations!AH$3)),1/12))</f>
        <v>3</v>
      </c>
      <c r="AI5" s="22">
        <f>IF($A5=0,1/12,IFERROR(INDEX(Parameters!$X$2:$AI$17,MATCH(Calculations!$A5,Parameters!$A$2:$A$17,0),MONTH(Calculations!AI$3)),1/12))</f>
        <v>4</v>
      </c>
      <c r="AJ5" s="22">
        <f>IF($A5=0,1/12,IFERROR(INDEX(Parameters!$X$2:$AI$17,MATCH(Calculations!$A5,Parameters!$A$2:$A$17,0),MONTH(Calculations!AJ$3)),1/12))</f>
        <v>5</v>
      </c>
      <c r="AK5" s="22">
        <f>IF($A5=0,1/12,IFERROR(INDEX(Parameters!$X$2:$AI$17,MATCH(Calculations!$A5,Parameters!$A$2:$A$17,0),MONTH(Calculations!AK$3)),1/12))</f>
        <v>6</v>
      </c>
      <c r="AL5" s="22">
        <f>IF($A5=0,1/12,IFERROR(INDEX(Parameters!$X$2:$AI$17,MATCH(Calculations!$A5,Parameters!$A$2:$A$17,0),MONTH(Calculations!AL$3)),1/12))</f>
        <v>7</v>
      </c>
      <c r="AM5" s="22">
        <f>IF($A5=0,1/12,IFERROR(INDEX(Parameters!$X$2:$AI$17,MATCH(Calculations!$A5,Parameters!$A$2:$A$17,0),MONTH(Calculations!AM$3)),1/12))</f>
        <v>8</v>
      </c>
      <c r="AN5" s="22">
        <f>IF($A5=0,1/12,IFERROR(INDEX(Parameters!$X$2:$AI$17,MATCH(Calculations!$A5,Parameters!$A$2:$A$17,0),MONTH(Calculations!AN$3)),1/12))</f>
        <v>9</v>
      </c>
      <c r="AO5" s="22">
        <f>IF($A5=0,1/12,IFERROR(INDEX(Parameters!$X$2:$AI$17,MATCH(Calculations!$A5,Parameters!$A$2:$A$17,0),MONTH(Calculations!AO$3)),1/12))</f>
        <v>10</v>
      </c>
      <c r="AP5" s="22">
        <f>IF($A5=0,1/12,IFERROR(INDEX(Parameters!$X$2:$AI$17,MATCH(Calculations!$A5,Parameters!$A$2:$A$17,0),MONTH(Calculations!AP$3)),1/12))</f>
        <v>11</v>
      </c>
      <c r="AQ5" s="22">
        <f>IF($A5=0,1/12,IFERROR(INDEX(Parameters!$X$2:$AI$17,MATCH(Calculations!$A5,Parameters!$A$2:$A$17,0),MONTH(Calculations!AQ$3)),1/12))</f>
        <v>12</v>
      </c>
      <c r="AR5" s="22">
        <f>IF($A5=0,1/12,IFERROR(INDEX(Parameters!$X$2:$AI$17,MATCH(Calculations!$A5,Parameters!$A$2:$A$17,0),MONTH(Calculations!AR$3)),1/12))</f>
        <v>1</v>
      </c>
      <c r="AS5" s="22">
        <f>IF($A5=0,1/12,IFERROR(INDEX(Parameters!$X$2:$AI$17,MATCH(Calculations!$A5,Parameters!$A$2:$A$17,0),MONTH(Calculations!AS$3)),1/12))</f>
        <v>2</v>
      </c>
      <c r="AT5" s="22">
        <f>IF($A5=0,1/12,IFERROR(INDEX(Parameters!$X$2:$AI$17,MATCH(Calculations!$A5,Parameters!$A$2:$A$17,0),MONTH(Calculations!AT$3)),1/12))</f>
        <v>3</v>
      </c>
      <c r="AU5" s="22">
        <f>IF($A5=0,1/12,IFERROR(INDEX(Parameters!$X$2:$AI$17,MATCH(Calculations!$A5,Parameters!$A$2:$A$17,0),MONTH(Calculations!AU$3)),1/12))</f>
        <v>4</v>
      </c>
      <c r="AV5" s="22">
        <f>IF($A5=0,1/12,IFERROR(INDEX(Parameters!$X$2:$AI$17,MATCH(Calculations!$A5,Parameters!$A$2:$A$17,0),MONTH(Calculations!AV$3)),1/12))</f>
        <v>5</v>
      </c>
      <c r="AW5" s="22">
        <f>IF($A5=0,1/12,IFERROR(INDEX(Parameters!$X$2:$AI$17,MATCH(Calculations!$A5,Parameters!$A$2:$A$17,0),MONTH(Calculations!AW$3)),1/12))</f>
        <v>6</v>
      </c>
      <c r="AX5" s="22">
        <f>IF($A5=0,1/12,IFERROR(INDEX(Parameters!$X$2:$AI$17,MATCH(Calculations!$A5,Parameters!$A$2:$A$17,0),MONTH(Calculations!AX$3)),1/12))</f>
        <v>7</v>
      </c>
      <c r="AY5" s="22">
        <f>IF($A5=0,1/12,IFERROR(INDEX(Parameters!$X$2:$AI$17,MATCH(Calculations!$A5,Parameters!$A$2:$A$17,0),MONTH(Calculations!AY$3)),1/12))</f>
        <v>8</v>
      </c>
      <c r="AZ5" s="22">
        <f>IF($A5=0,1/12,IFERROR(INDEX(Parameters!$X$2:$AI$17,MATCH(Calculations!$A5,Parameters!$A$2:$A$17,0),MONTH(Calculations!AZ$3)),1/12))</f>
        <v>9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25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191666.6666666667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15000</v>
      </c>
      <c r="S14" s="63">
        <f>IFERROR(D14*INDEX(Parameters!$A$22:$P$29,MATCH(Calculations!$A14,Parameters!$A$22:$A$29,0),MATCH(Parameters!$N$22,Parameters!$A$22:$P$22,0)),"")</f>
        <v>17500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50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10000</v>
      </c>
      <c r="S15" s="64">
        <f>IFERROR(D15*INDEX(Parameters!$A$22:$P$29,MATCH(Calculations!$A15,Parameters!$A$22:$A$29,0),MATCH(Parameters!$N$22,Parameters!$A$22:$P$22,0)),"")</f>
        <v>15000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43045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43040</v>
      </c>
      <c r="F33" t="s">
        <v>152</v>
      </c>
      <c r="G33" s="128">
        <f>IF(Inputs!B79="","",DATE(YEAR(Inputs!B79),MONTH(Inputs!B79),DAY(Inputs!B79)))</f>
        <v>43014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43075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43070</v>
      </c>
      <c r="F34" t="s">
        <v>153</v>
      </c>
      <c r="G34" s="128">
        <f>IF(Inputs!B80="","",DATE(YEAR(Inputs!B80),MONTH(Inputs!B80),DAY(Inputs!B80)))</f>
        <v>43045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43101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43137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43132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43165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43160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43196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43191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43221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43257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43252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43287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43282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43318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43313</v>
      </c>
      <c r="F42" t="s">
        <v>220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43349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43379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110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110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305</v>
      </c>
      <c r="H52" s="12" t="s">
        <v>128</v>
      </c>
      <c r="I52" s="12" t="s">
        <v>306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221</v>
      </c>
      <c r="E53" s="10" t="s">
        <v>180</v>
      </c>
      <c r="F53" s="10" t="s">
        <v>240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315</v>
      </c>
      <c r="C56" s="116" t="s">
        <v>316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317</v>
      </c>
      <c r="C57" s="116" t="s">
        <v>313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318</v>
      </c>
      <c r="C58" s="116" t="s">
        <v>313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319</v>
      </c>
      <c r="C59" s="116" t="s">
        <v>316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320</v>
      </c>
      <c r="C60" s="116" t="s">
        <v>316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321</v>
      </c>
      <c r="C61" s="116" t="s">
        <v>316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322</v>
      </c>
      <c r="C62" s="116" t="s">
        <v>316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323</v>
      </c>
      <c r="C63" s="116" t="s">
        <v>316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324</v>
      </c>
      <c r="C64" s="116" t="s">
        <v>316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325</v>
      </c>
      <c r="C65" s="12" t="s">
        <v>316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326</v>
      </c>
      <c r="C66" s="12" t="s">
        <v>316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327</v>
      </c>
      <c r="C67" s="12" t="s">
        <v>316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328</v>
      </c>
      <c r="C68" s="12" t="s">
        <v>316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329</v>
      </c>
      <c r="C69" s="12" t="s">
        <v>316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330</v>
      </c>
      <c r="C70" s="12" t="s">
        <v>316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331</v>
      </c>
      <c r="C71" s="12" t="s">
        <v>313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333</v>
      </c>
      <c r="B76" s="11" t="s">
        <v>334</v>
      </c>
      <c r="C76" s="11" t="s">
        <v>158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217</v>
      </c>
      <c r="J76" s="11" t="s">
        <v>339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340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341</v>
      </c>
      <c r="J77" s="136" t="s">
        <v>342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343</v>
      </c>
      <c r="D78" s="133"/>
      <c r="E78" s="12" t="s">
        <v>344</v>
      </c>
      <c r="F78" s="12" t="s">
        <v>345</v>
      </c>
      <c r="G78" s="12" t="s">
        <v>346</v>
      </c>
      <c r="H78" s="12" t="s">
        <v>306</v>
      </c>
      <c r="I78" s="12" t="s">
        <v>347</v>
      </c>
      <c r="J78" s="70" t="s">
        <v>348</v>
      </c>
      <c r="K78" s="12" t="s">
        <v>93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349</v>
      </c>
      <c r="F79" s="12" t="s">
        <v>350</v>
      </c>
      <c r="G79" s="12" t="s">
        <v>351</v>
      </c>
      <c r="I79" s="12" t="s">
        <v>158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352</v>
      </c>
      <c r="D80" s="12">
        <f>D79+1</f>
        <v>2</v>
      </c>
      <c r="E80" s="12" t="s">
        <v>353</v>
      </c>
      <c r="F80" s="12" t="s">
        <v>354</v>
      </c>
      <c r="J80" s="70" t="s">
        <v>355</v>
      </c>
      <c r="K80" s="12" t="s">
        <v>92</v>
      </c>
      <c r="AJ80" s="12"/>
    </row>
    <row r="81" spans="1:36">
      <c r="B81" s="176">
        <v>30</v>
      </c>
      <c r="C81" s="12" t="s">
        <v>356</v>
      </c>
      <c r="D81" s="12">
        <f>D80+1</f>
        <v>3</v>
      </c>
      <c r="J81" s="70" t="s">
        <v>357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