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<sst xmlns="http://schemas.openxmlformats.org/spreadsheetml/2006/main" uniqueCount="371">
  <si>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</si>
  <si>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</si>
  <si>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</si>
  <si>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</si>
  <si>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</si>
  <si>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</si>
  <si>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</si>
  <si>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</si>
  <si>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</si>
  <si>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</si>
  <si>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</si>
  <si>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</si>
  <si>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</si>
  <si>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</si>
  <si>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</si>
  <si>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</si>
  <si>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</si>
  <si>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</si>
  <si>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</si>
  <si>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</si>
  <si>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</si>
  <si>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</si>
  <si>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</si>
  <si>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</si>
  <si>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</si>
  <si>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</si>
  <si>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</si>
  <si>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</si>
  <si>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</si>
  <si>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</si>
  <si>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</si>
  <si>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</si>
  <si>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</si>
  <si>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</si>
  <si>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</si>
  <si>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</si>
  <si>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</si>
  <si>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</si>
  <si>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</si>
  <si>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</si>
  <si>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</si>
  <si>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</si>
  <si>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</si>
  <si>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</si>
  <si>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</si>
  <si>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</si>
  <si>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</si>
  <si>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</si>
  <si>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</si>
  <si>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</si>
  <si>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</si>
  <si>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</si>
  <si>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</si>
  <si>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</si>
  <si>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</si>
  <si>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</si>
  <si>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</si>
  <si>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</si>
  <si>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</si>
  <si>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</si>
  <si>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</si>
  <si>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</si>
  <si>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</si>
  <si>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</si>
  <si>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</si>
  <si>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</si>
  <si>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</si>
  <si>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</si>
  <si>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</si>
  <si>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</si>
  <si>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</si>
  <si>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</si>
  <si>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</si>
  <si>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</si>
  <si>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</si>
  <si>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</si>
  <si>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</si>
  <si>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</si>
  <si>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</si>
  <si>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</si>
  <si>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</si>
  <si>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</si>
  <si>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</si>
  <si>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</si>
  <si>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</si>
  <si>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</si>
  <si>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</si>
  <si>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</si>
  <si>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</si>
  <si>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</si>
  <si>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</si>
  <si>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</si>
  <si>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</si>
  <si>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</si>
  <si>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October</t>
  </si>
  <si>
    <t>Tomatoes</t>
  </si>
  <si>
    <t>Yes Inorganic fertizers</t>
  </si>
  <si>
    <t>January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</si>
  <si>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</si>
  <si>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</si>
  <si>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</si>
  <si>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</si>
  <si>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</si>
  <si>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</si>
  <si>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</si>
  <si>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</si>
  <si>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</si>
  <si>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</si>
  <si>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</si>
  <si>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</si>
  <si>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</si>
  <si>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</si>
  <si>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</si>
  <si>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</si>
  <si>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</si>
  <si>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</si>
  <si>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</si>
  <si>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</si>
  <si>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</si>
  <si>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</si>
  <si>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</si>
  <si>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</si>
  <si>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</si>
  <si>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</si>
  <si>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</si>
  <si>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</si>
  <si>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</si>
  <si>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</si>
  <si>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</si>
  <si>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</si>
  <si>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</si>
  <si>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</si>
  <si>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</si>
  <si>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</si>
  <si>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</si>
  <si>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</si>
  <si>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</si>
  <si>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</si>
  <si>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</si>
  <si>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</si>
  <si>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</si>
  <si>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</si>
  <si>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</si>
  <si>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</si>
  <si>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</si>
  <si>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6/30/2018</t>
  </si>
  <si>
    <t xml:space="preserve">Mshwari </t>
  </si>
  <si>
    <t xml:space="preserve">No arrears </t>
  </si>
  <si>
    <t>8/30/2017</t>
  </si>
  <si>
    <t xml:space="preserve">M-Shwari </t>
  </si>
  <si>
    <t>7/31/2017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</si>
  <si>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</si>
  <si>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</si>
  <si>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</si>
  <si>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</si>
  <si>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</si>
  <si>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</si>
  <si>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</si>
  <si>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</si>
  <si>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</si>
  <si>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</si>
  <si>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</si>
  <si>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</si>
  <si>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2017/10/6</t>
  </si>
  <si>
    <t>Loan terms</t>
  </si>
  <si>
    <t>Expected disbursement date</t>
  </si>
  <si>
    <t>Expected first repayment date</t>
  </si>
  <si>
    <t>2017/11/6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</si>
  <si>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</si>
  <si>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</si>
  <si>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</si>
  <si>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</si>
  <si>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</si>
  <si>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</si>
  <si>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</si>
  <si>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</si>
  <si>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</si>
  <si>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</si>
  <si>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</si>
  <si>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</si>
  <si>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</si>
  <si>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</si>
  <si>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</si>
  <si>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</si>
  <si>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</si>
  <si>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</si>
  <si>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</si>
  <si>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</si>
  <si>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</si>
  <si>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</si>
  <si>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</si>
  <si>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</si>
  <si>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</si>
  <si>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</si>
  <si>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</si>
  <si>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</si>
  <si>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</si>
  <si>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</si>
  <si>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</si>
  <si>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</si>
  <si>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</si>
  <si>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</si>
  <si>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</si>
  <si>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</si>
  <si>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</si>
  <si>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</si>
  <si>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</si>
  <si>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</si>
  <si>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</si>
  <si>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</si>
  <si>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</si>
  <si>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</si>
  <si>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</si>
  <si>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</si>
  <si>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</si>
  <si>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</si>
  <si>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</si>
  <si>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</si>
  <si>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</si>
  <si>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</si>
  <si>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</si>
  <si>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</si>
  <si>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</si>
  <si>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</si>
  <si>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</si>
  <si>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</si>
  <si>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</si>
  <si>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</si>
  <si>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</si>
  <si>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</si>
  <si>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</si>
  <si>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</si>
  <si>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</si>
  <si>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</si>
  <si>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</si>
  <si>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</si>
  <si>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</si>
  <si>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</si>
  <si>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</si>
  <si>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</si>
  <si>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</si>
  <si>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</si>
  <si>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</si>
  <si>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</si>
  <si>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</si>
  <si>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</si>
  <si>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</si>
  <si>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</si>
  <si>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</si>
  <si>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</si>
  <si>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</si>
  <si>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</si>
  <si>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</si>
  <si>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</si>
  <si>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</si>
  <si>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</si>
  <si>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</si>
  <si>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</si>
  <si>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</si>
  <si>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</si>
  <si>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</si>
  <si>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</si>
  <si>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</si>
  <si>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</si>
  <si>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</si>
  <si>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</si>
  <si>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</si>
  <si>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</si>
  <si>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</si>
  <si>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</si>
  <si>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</si>
  <si>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</si>
  <si>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</si>
  <si>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</si>
  <si>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</si>
  <si>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</si>
  <si>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</si>
  <si>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</si>
  <si>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</si>
  <si>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</si>
  <si>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</si>
  <si>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</si>
  <si>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</si>
  <si>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</si>
  <si>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</si>
  <si>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</si>
  <si>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</si>
  <si>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</si>
  <si>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</si>
  <si>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</si>
  <si>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</si>
  <si>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</si>
  <si>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</si>
  <si>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</si>
  <si>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</si>
  <si>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</si>
  <si>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</si>
  <si>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</si>
  <si>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</si>
  <si>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</si>
  <si>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</si>
  <si>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</si>
  <si>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</si>
  <si>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</si>
  <si>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</si>
  <si>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</si>
  <si>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</si>
  <si>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</si>
  <si>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</si>
  <si>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</si>
  <si>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</si>
  <si>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</si>
  <si>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</si>
  <si>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</si>
  <si>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</si>
  <si>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</si>
  <si>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</si>
  <si>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</si>
  <si>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</si>
  <si>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</si>
  <si>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</si>
  <si>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</si>
  <si>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</si>
  <si>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</si>
  <si>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</si>
  <si>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</si>
  <si>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</si>
  <si>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</si>
  <si>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</si>
  <si>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</si>
  <si>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</si>
  <si>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</si>
  <si>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</si>
  <si>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</si>
  <si>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</si>
  <si>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</si>
  <si>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</si>
  <si>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</si>
  <si>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</si>
  <si>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</si>
  <si>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</si>
  <si>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</si>
  <si>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</si>
  <si>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</si>
  <si>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</si>
  <si>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</si>
  <si>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</si>
  <si>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</si>
  <si>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</si>
  <si>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</si>
  <si>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</si>
  <si>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</si>
  <si>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</si>
  <si>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</si>
  <si>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</si>
  <si>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</si>
  <si>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</si>
  <si>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</si>
  <si>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</si>
  <si>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</si>
  <si>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</si>
  <si>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</si>
  <si>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</si>
  <si>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</si>
  <si>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</si>
  <si>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</si>
  <si>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</si>
  <si>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without the use of a pump</t>
  </si>
  <si>
    <t>March</t>
  </si>
  <si>
    <t>NGO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</si>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</sst>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0.2280352498320247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0.02181857265692175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269345.5394523672</v>
      </c>
    </row>
    <row r="18" spans="1:7">
      <c r="B18" s="1" t="s">
        <v>12</v>
      </c>
      <c r="C18" s="36">
        <f>MIN(Output!B6:M6)</f>
        <v>-11728.22441402041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160888.8917962857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5500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156888.8917962857</v>
      </c>
      <c r="C6" s="51">
        <f>C30-C88</f>
        <v>1359.275585979594</v>
      </c>
      <c r="D6" s="51">
        <f>D30-D88</f>
        <v>1359.275585979594</v>
      </c>
      <c r="E6" s="51">
        <f>E30-E88</f>
        <v>-7978.224414020406</v>
      </c>
      <c r="F6" s="51">
        <f>F30-F88</f>
        <v>-7228.224414020406</v>
      </c>
      <c r="G6" s="51">
        <f>G30-G88</f>
        <v>-11728.22441402041</v>
      </c>
      <c r="H6" s="51">
        <f>H30-H88</f>
        <v>160888.8917962857</v>
      </c>
      <c r="I6" s="51">
        <f>I30-I88</f>
        <v>1359.275585979594</v>
      </c>
      <c r="J6" s="51">
        <f>J30-J88</f>
        <v>1359.275585979594</v>
      </c>
      <c r="K6" s="51">
        <f>K30-K88</f>
        <v>-7978.224414020406</v>
      </c>
      <c r="L6" s="51">
        <f>L30-L88</f>
        <v>-7228.224414020406</v>
      </c>
      <c r="M6" s="51">
        <f>M30-M88</f>
        <v>-11728.22441402041</v>
      </c>
      <c r="N6" s="51">
        <f>N30-N88</f>
        <v>156888.8917962857</v>
      </c>
      <c r="O6" s="51">
        <f>O30-O88</f>
        <v>1359.275585979594</v>
      </c>
      <c r="P6" s="51">
        <f>P30-P88</f>
        <v>1359.275585979594</v>
      </c>
      <c r="Q6" s="51">
        <f>Q30-Q88</f>
        <v>-7978.224414020406</v>
      </c>
      <c r="R6" s="51">
        <f>R30-R88</f>
        <v>-7228.224414020406</v>
      </c>
      <c r="S6" s="51">
        <f>S30-S88</f>
        <v>-11728.22441402041</v>
      </c>
      <c r="T6" s="51">
        <f>T30-T88</f>
        <v>160888.8917962857</v>
      </c>
      <c r="U6" s="51">
        <f>U30-U88</f>
        <v>1359.275585979594</v>
      </c>
      <c r="V6" s="51">
        <f>V30-V88</f>
        <v>1359.275585979594</v>
      </c>
      <c r="W6" s="51">
        <f>W30-W88</f>
        <v>-7978.224414020406</v>
      </c>
      <c r="X6" s="51">
        <f>X30-X88</f>
        <v>-7228.224414020406</v>
      </c>
      <c r="Y6" s="51">
        <f>Y30-Y88</f>
        <v>-11728.22441402041</v>
      </c>
      <c r="Z6" s="51">
        <f>SUMIF($B$13:$Y$13,"Yes",B6:Y6)</f>
        <v>426234.4312486529</v>
      </c>
      <c r="AA6" s="51">
        <f>AA30-AA88</f>
        <v>269345.5394523673</v>
      </c>
      <c r="AB6" s="51">
        <f>AB30-AB88</f>
        <v>538691.0789047343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5986</v>
      </c>
      <c r="I7" s="80">
        <f>IF(ISERROR(VLOOKUP(MONTH(I5),Inputs!$D$66:$D$71,1,0)),"",INDEX(Inputs!$B$66:$B$71,MATCH(MONTH(Output!I5),Inputs!$D$66:$D$71,0))-INDEX(Inputs!$C$66:$C$71,MATCH(MONTH(Output!I5),Inputs!$D$66:$D$71,0)))</f>
        <v>14700</v>
      </c>
      <c r="J7" s="80">
        <f>IF(ISERROR(VLOOKUP(MONTH(J5),Inputs!$D$66:$D$71,1,0)),"",INDEX(Inputs!$B$66:$B$71,MATCH(MONTH(Output!J5),Inputs!$D$66:$D$71,0))-INDEX(Inputs!$C$66:$C$71,MATCH(MONTH(Output!J5),Inputs!$D$66:$D$71,0)))</f>
        <v>7138</v>
      </c>
      <c r="K7" s="80">
        <f>IF(ISERROR(VLOOKUP(MONTH(K5),Inputs!$D$66:$D$71,1,0)),"",INDEX(Inputs!$B$66:$B$71,MATCH(MONTH(Output!K5),Inputs!$D$66:$D$71,0))-INDEX(Inputs!$C$66:$C$71,MATCH(MONTH(Output!K5),Inputs!$D$66:$D$71,0)))</f>
        <v>7976</v>
      </c>
      <c r="L7" s="80">
        <f>IF(ISERROR(VLOOKUP(MONTH(L5),Inputs!$D$66:$D$71,1,0)),"",INDEX(Inputs!$B$66:$B$71,MATCH(MONTH(Output!L5),Inputs!$D$66:$D$71,0))-INDEX(Inputs!$C$66:$C$71,MATCH(MONTH(Output!L5),Inputs!$D$66:$D$71,0)))</f>
        <v>10640</v>
      </c>
      <c r="M7" s="80">
        <f>IF(ISERROR(VLOOKUP(MONTH(M5),Inputs!$D$66:$D$71,1,0)),"",INDEX(Inputs!$B$66:$B$71,MATCH(MONTH(Output!M5),Inputs!$D$66:$D$71,0))-INDEX(Inputs!$C$66:$C$71,MATCH(MONTH(Output!M5),Inputs!$D$66:$D$71,0)))</f>
        <v>5802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5986</v>
      </c>
      <c r="U7" s="80">
        <f>IF(ISERROR(VLOOKUP(MONTH(U5),Inputs!$D$66:$D$71,1,0)),"",INDEX(Inputs!$B$66:$B$71,MATCH(MONTH(Output!U5),Inputs!$D$66:$D$71,0))-INDEX(Inputs!$C$66:$C$71,MATCH(MONTH(Output!U5),Inputs!$D$66:$D$71,0)))</f>
        <v>14700</v>
      </c>
      <c r="V7" s="80">
        <f>IF(ISERROR(VLOOKUP(MONTH(V5),Inputs!$D$66:$D$71,1,0)),"",INDEX(Inputs!$B$66:$B$71,MATCH(MONTH(Output!V5),Inputs!$D$66:$D$71,0))-INDEX(Inputs!$C$66:$C$71,MATCH(MONTH(Output!V5),Inputs!$D$66:$D$71,0)))</f>
        <v>7138</v>
      </c>
      <c r="W7" s="80">
        <f>IF(ISERROR(VLOOKUP(MONTH(W5),Inputs!$D$66:$D$71,1,0)),"",INDEX(Inputs!$B$66:$B$71,MATCH(MONTH(Output!W5),Inputs!$D$66:$D$71,0))-INDEX(Inputs!$C$66:$C$71,MATCH(MONTH(Output!W5),Inputs!$D$66:$D$71,0)))</f>
        <v>7976</v>
      </c>
      <c r="X7" s="80">
        <f>IF(ISERROR(VLOOKUP(MONTH(X5),Inputs!$D$66:$D$71,1,0)),"",INDEX(Inputs!$B$66:$B$71,MATCH(MONTH(Output!X5),Inputs!$D$66:$D$71,0))-INDEX(Inputs!$C$66:$C$71,MATCH(MONTH(Output!X5),Inputs!$D$66:$D$71,0)))</f>
        <v>10640</v>
      </c>
      <c r="Y7" s="80">
        <f>IF(ISERROR(VLOOKUP(MONTH(Y5),Inputs!$D$66:$D$71,1,0)),"",INDEX(Inputs!$B$66:$B$71,MATCH(MONTH(Output!Y5),Inputs!$D$66:$D$71,0))-INDEX(Inputs!$C$66:$C$71,MATCH(MONTH(Output!Y5),Inputs!$D$66:$D$71,0)))</f>
        <v>5802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256888.8917962857</v>
      </c>
      <c r="C11" s="80">
        <f>C6+C9-C10</f>
        <v>-8640.724414020406</v>
      </c>
      <c r="D11" s="80">
        <f>D6+D9-D10</f>
        <v>-8640.724414020406</v>
      </c>
      <c r="E11" s="80">
        <f>E6+E9-E10</f>
        <v>-17978.22441402041</v>
      </c>
      <c r="F11" s="80">
        <f>F6+F9-F10</f>
        <v>-17228.22441402041</v>
      </c>
      <c r="G11" s="80">
        <f>G6+G9-G10</f>
        <v>-21728.22441402041</v>
      </c>
      <c r="H11" s="80">
        <f>H6+H9-H10</f>
        <v>150888.8917962857</v>
      </c>
      <c r="I11" s="80">
        <f>I6+I9-I10</f>
        <v>-8640.724414020406</v>
      </c>
      <c r="J11" s="80">
        <f>J6+J9-J10</f>
        <v>-8640.724414020406</v>
      </c>
      <c r="K11" s="80">
        <f>K6+K9-K10</f>
        <v>-17978.22441402041</v>
      </c>
      <c r="L11" s="80">
        <f>L6+L9-L10</f>
        <v>-17228.22441402041</v>
      </c>
      <c r="M11" s="80">
        <f>M6+M9-M10</f>
        <v>-21728.22441402041</v>
      </c>
      <c r="N11" s="80">
        <f>N6+N9-N10</f>
        <v>146888.8917962857</v>
      </c>
      <c r="O11" s="80">
        <f>O6+O9-O10</f>
        <v>1359.275585979594</v>
      </c>
      <c r="P11" s="80">
        <f>P6+P9-P10</f>
        <v>1359.275585979594</v>
      </c>
      <c r="Q11" s="80">
        <f>Q6+Q9-Q10</f>
        <v>-7978.224414020406</v>
      </c>
      <c r="R11" s="80">
        <f>R6+R9-R10</f>
        <v>-7228.224414020406</v>
      </c>
      <c r="S11" s="80">
        <f>S6+S9-S10</f>
        <v>-11728.22441402041</v>
      </c>
      <c r="T11" s="80">
        <f>T6+T9-T10</f>
        <v>160888.8917962857</v>
      </c>
      <c r="U11" s="80">
        <f>U6+U9-U10</f>
        <v>1359.275585979594</v>
      </c>
      <c r="V11" s="80">
        <f>V6+V9-V10</f>
        <v>1359.275585979594</v>
      </c>
      <c r="W11" s="80">
        <f>W6+W9-W10</f>
        <v>-7978.224414020406</v>
      </c>
      <c r="X11" s="80">
        <f>X6+X9-X10</f>
        <v>-7228.224414020406</v>
      </c>
      <c r="Y11" s="80">
        <f>Y6+Y9-Y10</f>
        <v>-11728.22441402041</v>
      </c>
      <c r="Z11" s="85">
        <f>SUMIF($B$13:$Y$13,"Yes",B11:Y11)</f>
        <v>406234.431248653</v>
      </c>
      <c r="AA11" s="80">
        <f>SUM(B11:M11)</f>
        <v>259345.5394523673</v>
      </c>
      <c r="AB11" s="46">
        <f>SUM(B11:Y11)</f>
        <v>518691.0789047343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0.03872244322724565</v>
      </c>
      <c r="D12" s="82">
        <f>IF(D13="Yes",IF(SUM($B$10:D10)/(SUM($B$6:D6)+SUM($B$9:D9))&lt;0,999.99,SUM($B$10:D10)/(SUM($B$6:D6)+SUM($B$9:D9))),"")</f>
        <v>0.0770393936758061</v>
      </c>
      <c r="E12" s="82">
        <f>IF(E13="Yes",IF(SUM($B$10:E10)/(SUM($B$6:E6)+SUM($B$9:E9))&lt;0,999.99,SUM($B$10:E10)/(SUM($B$6:E6)+SUM($B$9:E9))),"")</f>
        <v>0.1192230384546347</v>
      </c>
      <c r="F12" s="82">
        <f>IF(F13="Yes",IF(SUM($B$10:F10)/(SUM($B$6:F6)+SUM($B$9:F9))&lt;0,999.99,SUM($B$10:F10)/(SUM($B$6:F6)+SUM($B$9:F9))),"")</f>
        <v>0.1636654553747577</v>
      </c>
      <c r="G12" s="82">
        <f>IF(G13="Yes",IF(SUM($B$10:G10)/(SUM($B$6:G6)+SUM($B$9:G9))&lt;0,999.99,SUM($B$10:G10)/(SUM($B$6:G6)+SUM($B$9:G9))),"")</f>
        <v>0.2148940765988281</v>
      </c>
      <c r="H12" s="82">
        <f>IF(H13="Yes",IF(SUM($B$10:H10)/(SUM($B$6:H6)+SUM($B$9:H9))&lt;0,999.99,SUM($B$10:H10)/(SUM($B$6:H6)+SUM($B$9:H9))),"")</f>
        <v>0.1524538741093166</v>
      </c>
      <c r="I12" s="82">
        <f>IF(I13="Yes",IF(SUM($B$10:I10)/(SUM($B$6:I6)+SUM($B$9:I9))&lt;0,999.99,SUM($B$10:I10)/(SUM($B$6:I6)+SUM($B$9:I9))),"")</f>
        <v>0.1772506682287583</v>
      </c>
      <c r="J12" s="82">
        <f>IF(J13="Yes",IF(SUM($B$10:J10)/(SUM($B$6:J6)+SUM($B$9:J9))&lt;0,999.99,SUM($B$10:J10)/(SUM($B$6:J6)+SUM($B$9:J9))),"")</f>
        <v>0.201877352028394</v>
      </c>
      <c r="K12" s="82">
        <f>IF(K13="Yes",IF(SUM($B$10:K10)/(SUM($B$6:K6)+SUM($B$9:K9))&lt;0,999.99,SUM($B$10:K10)/(SUM($B$6:K6)+SUM($B$9:K9))),"")</f>
        <v>0.231778365077563</v>
      </c>
      <c r="L12" s="82">
        <f>IF(L13="Yes",IF(SUM($B$10:L10)/(SUM($B$6:L6)+SUM($B$9:L9))&lt;0,999.99,SUM($B$10:L10)/(SUM($B$6:L6)+SUM($B$9:L9))),"")</f>
        <v>0.262416386227686</v>
      </c>
      <c r="M12" s="82">
        <f>IF(M13="Yes",IF(SUM($B$10:M10)/(SUM($B$6:M6)+SUM($B$9:M9))&lt;0,999.99,SUM($B$10:M10)/(SUM($B$6:M6)+SUM($B$9:M9))),"")</f>
        <v>0.2978240922121281</v>
      </c>
      <c r="N12" s="82">
        <f>IF(N13="Yes",IF(SUM($B$10:N10)/(SUM($B$6:N6)+SUM($B$9:N9))&lt;0,999.99,SUM($B$10:N10)/(SUM($B$6:N6)+SUM($B$9:N9))),"")</f>
        <v>0.2280352498320247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168117.1162103061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168117.1162103061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168117.1162103061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168117.1162103061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504351.3486309183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20531.25</v>
      </c>
      <c r="C24" s="36">
        <f>IFERROR(Calculations!$P14/12,"")</f>
        <v>20531.25</v>
      </c>
      <c r="D24" s="36">
        <f>IFERROR(Calculations!$P14/12,"")</f>
        <v>20531.25</v>
      </c>
      <c r="E24" s="36">
        <f>IFERROR(Calculations!$P14/12,"")</f>
        <v>20531.25</v>
      </c>
      <c r="F24" s="36">
        <f>IFERROR(Calculations!$P14/12,"")</f>
        <v>20531.25</v>
      </c>
      <c r="G24" s="36">
        <f>IFERROR(Calculations!$P14/12,"")</f>
        <v>20531.25</v>
      </c>
      <c r="H24" s="36">
        <f>IFERROR(Calculations!$P14/12,"")</f>
        <v>20531.25</v>
      </c>
      <c r="I24" s="36">
        <f>IFERROR(Calculations!$P14/12,"")</f>
        <v>20531.25</v>
      </c>
      <c r="J24" s="36">
        <f>IFERROR(Calculations!$P14/12,"")</f>
        <v>20531.25</v>
      </c>
      <c r="K24" s="36">
        <f>IFERROR(Calculations!$P14/12,"")</f>
        <v>20531.25</v>
      </c>
      <c r="L24" s="36">
        <f>IFERROR(Calculations!$P14/12,"")</f>
        <v>20531.25</v>
      </c>
      <c r="M24" s="36">
        <f>IFERROR(Calculations!$P14/12,"")</f>
        <v>20531.25</v>
      </c>
      <c r="N24" s="36">
        <f>IFERROR(Calculations!$P14/12,"")</f>
        <v>20531.25</v>
      </c>
      <c r="O24" s="36">
        <f>IFERROR(Calculations!$P14/12,"")</f>
        <v>20531.25</v>
      </c>
      <c r="P24" s="36">
        <f>IFERROR(Calculations!$P14/12,"")</f>
        <v>20531.25</v>
      </c>
      <c r="Q24" s="36">
        <f>IFERROR(Calculations!$P14/12,"")</f>
        <v>20531.25</v>
      </c>
      <c r="R24" s="36">
        <f>IFERROR(Calculations!$P14/12,"")</f>
        <v>20531.25</v>
      </c>
      <c r="S24" s="36">
        <f>IFERROR(Calculations!$P14/12,"")</f>
        <v>20531.25</v>
      </c>
      <c r="T24" s="36">
        <f>IFERROR(Calculations!$P14/12,"")</f>
        <v>20531.25</v>
      </c>
      <c r="U24" s="36">
        <f>IFERROR(Calculations!$P14/12,"")</f>
        <v>20531.25</v>
      </c>
      <c r="V24" s="36">
        <f>IFERROR(Calculations!$P14/12,"")</f>
        <v>20531.25</v>
      </c>
      <c r="W24" s="36">
        <f>IFERROR(Calculations!$P14/12,"")</f>
        <v>20531.25</v>
      </c>
      <c r="X24" s="36">
        <f>IFERROR(Calculations!$P14/12,"")</f>
        <v>20531.25</v>
      </c>
      <c r="Y24" s="36">
        <f>IFERROR(Calculations!$P14/12,"")</f>
        <v>20531.25</v>
      </c>
      <c r="Z24" s="36">
        <f>SUMIF($B$13:$Y$13,"Yes",B24:Y24)</f>
        <v>266906.25</v>
      </c>
      <c r="AA24" s="36">
        <f>SUM(B24:M24)</f>
        <v>246375</v>
      </c>
      <c r="AB24" s="46">
        <f>SUM(B24:Y24)</f>
        <v>492750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188648.3662103061</v>
      </c>
      <c r="C30" s="19">
        <f>SUM(C18:C29)</f>
        <v>20531.25</v>
      </c>
      <c r="D30" s="19">
        <f>SUM(D18:D29)</f>
        <v>20531.25</v>
      </c>
      <c r="E30" s="19">
        <f>SUM(E18:E29)</f>
        <v>20531.25</v>
      </c>
      <c r="F30" s="19">
        <f>SUM(F18:F29)</f>
        <v>20531.25</v>
      </c>
      <c r="G30" s="19">
        <f>SUM(G18:G29)</f>
        <v>20531.25</v>
      </c>
      <c r="H30" s="19">
        <f>SUM(H18:H29)</f>
        <v>188648.3662103061</v>
      </c>
      <c r="I30" s="19">
        <f>SUM(I18:I29)</f>
        <v>20531.25</v>
      </c>
      <c r="J30" s="19">
        <f>SUM(J18:J29)</f>
        <v>20531.25</v>
      </c>
      <c r="K30" s="19">
        <f>SUM(K18:K29)</f>
        <v>20531.25</v>
      </c>
      <c r="L30" s="19">
        <f>SUM(L18:L29)</f>
        <v>20531.25</v>
      </c>
      <c r="M30" s="19">
        <f>SUM(M18:M29)</f>
        <v>20531.25</v>
      </c>
      <c r="N30" s="19">
        <f>SUM(N18:N29)</f>
        <v>188648.3662103061</v>
      </c>
      <c r="O30" s="19">
        <f>SUM(O18:O29)</f>
        <v>20531.25</v>
      </c>
      <c r="P30" s="19">
        <f>SUM(P18:P29)</f>
        <v>20531.25</v>
      </c>
      <c r="Q30" s="19">
        <f>SUM(Q18:Q29)</f>
        <v>20531.25</v>
      </c>
      <c r="R30" s="19">
        <f>SUM(R18:R29)</f>
        <v>20531.25</v>
      </c>
      <c r="S30" s="19">
        <f>SUM(S18:S29)</f>
        <v>20531.25</v>
      </c>
      <c r="T30" s="19">
        <f>SUM(T18:T29)</f>
        <v>188648.3662103061</v>
      </c>
      <c r="U30" s="19">
        <f>SUM(U18:U29)</f>
        <v>20531.25</v>
      </c>
      <c r="V30" s="19">
        <f>SUM(V18:V29)</f>
        <v>20531.25</v>
      </c>
      <c r="W30" s="19">
        <f>SUM(W18:W29)</f>
        <v>20531.25</v>
      </c>
      <c r="X30" s="19">
        <f>SUM(X18:X29)</f>
        <v>20531.25</v>
      </c>
      <c r="Y30" s="19">
        <f>SUM(Y18:Y29)</f>
        <v>20531.25</v>
      </c>
      <c r="Z30" s="19">
        <f>SUMIF($B$13:$Y$13,"Yes",B30:Y30)</f>
        <v>771257.5986309182</v>
      </c>
      <c r="AA30" s="19">
        <f>SUM(B30:M30)</f>
        <v>582609.2324206121</v>
      </c>
      <c r="AB30" s="19">
        <f>SUM(B30:Y30)</f>
        <v>1165218.464841224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750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750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750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750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750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750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750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750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4500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4500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4500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4500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4500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4500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4500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4500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</v>
      </c>
      <c r="C60" s="36">
        <f>O60</f>
        <v>0</v>
      </c>
      <c r="D60" s="36">
        <f>P60</f>
        <v>0</v>
      </c>
      <c r="E60" s="36">
        <f>Q60</f>
        <v>1500</v>
      </c>
      <c r="F60" s="36">
        <f>R60</f>
        <v>1500</v>
      </c>
      <c r="G60" s="36">
        <f>S60</f>
        <v>1500</v>
      </c>
      <c r="H60" s="36">
        <f>T60</f>
        <v>1500</v>
      </c>
      <c r="I60" s="36">
        <f>U60</f>
        <v>0</v>
      </c>
      <c r="J60" s="36">
        <f>V60</f>
        <v>0</v>
      </c>
      <c r="K60" s="36">
        <f>W60</f>
        <v>1500</v>
      </c>
      <c r="L60" s="36">
        <f>X60</f>
        <v>1500</v>
      </c>
      <c r="M60" s="36">
        <f>Y60</f>
        <v>1500</v>
      </c>
      <c r="N60" s="46">
        <f>SUM(N61:N65)</f>
        <v>1500</v>
      </c>
      <c r="O60" s="46">
        <f>SUM(O61:O65)</f>
        <v>0</v>
      </c>
      <c r="P60" s="46">
        <f>SUM(P61:P65)</f>
        <v>0</v>
      </c>
      <c r="Q60" s="46">
        <f>SUM(Q61:Q65)</f>
        <v>1500</v>
      </c>
      <c r="R60" s="46">
        <f>SUM(R61:R65)</f>
        <v>1500</v>
      </c>
      <c r="S60" s="46">
        <f>SUM(S61:S65)</f>
        <v>1500</v>
      </c>
      <c r="T60" s="46">
        <f>SUM(T61:T65)</f>
        <v>1500</v>
      </c>
      <c r="U60" s="46">
        <f>SUM(U61:U65)</f>
        <v>0</v>
      </c>
      <c r="V60" s="46">
        <f>SUM(V61:V65)</f>
        <v>0</v>
      </c>
      <c r="W60" s="46">
        <f>SUM(W61:W65)</f>
        <v>1500</v>
      </c>
      <c r="X60" s="46">
        <f>SUM(X61:X65)</f>
        <v>1500</v>
      </c>
      <c r="Y60" s="46">
        <f>SUM(Y61:Y65)</f>
        <v>1500</v>
      </c>
      <c r="Z60" s="46">
        <f>SUMIF($B$13:$Y$13,"Yes",B60:Y60)</f>
        <v>13500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1500</v>
      </c>
      <c r="C62" s="36">
        <f>O62</f>
        <v>0</v>
      </c>
      <c r="D62" s="36">
        <f>P62</f>
        <v>0</v>
      </c>
      <c r="E62" s="36">
        <f>Q62</f>
        <v>1500</v>
      </c>
      <c r="F62" s="36">
        <f>R62</f>
        <v>1500</v>
      </c>
      <c r="G62" s="36">
        <f>S62</f>
        <v>1500</v>
      </c>
      <c r="H62" s="36">
        <f>T62</f>
        <v>1500</v>
      </c>
      <c r="I62" s="36">
        <f>U62</f>
        <v>0</v>
      </c>
      <c r="J62" s="36">
        <f>V62</f>
        <v>0</v>
      </c>
      <c r="K62" s="36">
        <f>W62</f>
        <v>1500</v>
      </c>
      <c r="L62" s="36">
        <f>X62</f>
        <v>1500</v>
      </c>
      <c r="M62" s="36">
        <f>Y62</f>
        <v>1500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1500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1500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1500</v>
      </c>
      <c r="Z62" s="46">
        <f>SUMIF($B$13:$Y$13,"Yes",B62:Y62)</f>
        <v>13500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7087.5</v>
      </c>
      <c r="C66" s="36">
        <f>O66</f>
        <v>0</v>
      </c>
      <c r="D66" s="36">
        <f>P66</f>
        <v>0</v>
      </c>
      <c r="E66" s="36">
        <f>Q66</f>
        <v>7087.5</v>
      </c>
      <c r="F66" s="36">
        <f>R66</f>
        <v>7087.5</v>
      </c>
      <c r="G66" s="36">
        <f>S66</f>
        <v>7087.5</v>
      </c>
      <c r="H66" s="36">
        <f>T66</f>
        <v>7087.5</v>
      </c>
      <c r="I66" s="36">
        <f>U66</f>
        <v>0</v>
      </c>
      <c r="J66" s="36">
        <f>V66</f>
        <v>0</v>
      </c>
      <c r="K66" s="36">
        <f>W66</f>
        <v>7087.5</v>
      </c>
      <c r="L66" s="36">
        <f>X66</f>
        <v>7087.5</v>
      </c>
      <c r="M66" s="36">
        <f>Y66</f>
        <v>7087.5</v>
      </c>
      <c r="N66" s="46">
        <f>SUM(N67:N71)</f>
        <v>7087.5</v>
      </c>
      <c r="O66" s="46">
        <f>SUM(O67:O71)</f>
        <v>0</v>
      </c>
      <c r="P66" s="46">
        <f>SUM(P67:P71)</f>
        <v>0</v>
      </c>
      <c r="Q66" s="46">
        <f>SUM(Q67:Q71)</f>
        <v>7087.5</v>
      </c>
      <c r="R66" s="46">
        <f>SUM(R67:R71)</f>
        <v>7087.5</v>
      </c>
      <c r="S66" s="46">
        <f>SUM(S67:S71)</f>
        <v>7087.5</v>
      </c>
      <c r="T66" s="46">
        <f>SUM(T67:T71)</f>
        <v>7087.5</v>
      </c>
      <c r="U66" s="46">
        <f>SUM(U67:U71)</f>
        <v>0</v>
      </c>
      <c r="V66" s="46">
        <f>SUM(V67:V71)</f>
        <v>0</v>
      </c>
      <c r="W66" s="46">
        <f>SUM(W67:W71)</f>
        <v>7087.5</v>
      </c>
      <c r="X66" s="46">
        <f>SUM(X67:X71)</f>
        <v>7087.5</v>
      </c>
      <c r="Y66" s="46">
        <f>SUM(Y67:Y71)</f>
        <v>7087.5</v>
      </c>
      <c r="Z66" s="46">
        <f>SUMIF($B$13:$Y$13,"Yes",B66:Y66)</f>
        <v>63787.5</v>
      </c>
      <c r="AA66" s="46">
        <f>SUM(B66:M66)</f>
        <v>56700</v>
      </c>
      <c r="AB66" s="46">
        <f>SUM(B66:Y66)</f>
        <v>113400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7087.5</v>
      </c>
      <c r="C68" s="36">
        <f>O68</f>
        <v>0</v>
      </c>
      <c r="D68" s="36">
        <f>P68</f>
        <v>0</v>
      </c>
      <c r="E68" s="36">
        <f>Q68</f>
        <v>7087.5</v>
      </c>
      <c r="F68" s="36">
        <f>R68</f>
        <v>7087.5</v>
      </c>
      <c r="G68" s="36">
        <f>S68</f>
        <v>7087.5</v>
      </c>
      <c r="H68" s="36">
        <f>T68</f>
        <v>7087.5</v>
      </c>
      <c r="I68" s="36">
        <f>U68</f>
        <v>0</v>
      </c>
      <c r="J68" s="36">
        <f>V68</f>
        <v>0</v>
      </c>
      <c r="K68" s="36">
        <f>W68</f>
        <v>7087.5</v>
      </c>
      <c r="L68" s="36">
        <f>X68</f>
        <v>7087.5</v>
      </c>
      <c r="M68" s="36">
        <f>Y68</f>
        <v>7087.5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7087.5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7087.5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7087.5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7087.5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7087.5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7087.5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7087.5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7087.5</v>
      </c>
      <c r="Z68" s="46">
        <f>SUMIF($B$13:$Y$13,"Yes",B68:Y68)</f>
        <v>63787.5</v>
      </c>
      <c r="AA68" s="46">
        <f>SUM(B68:M68)</f>
        <v>56700</v>
      </c>
      <c r="AB68" s="46">
        <f>SUM(B68:Y68)</f>
        <v>113400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14963.64108068707</v>
      </c>
      <c r="C81" s="46">
        <f>(SUM($AA$18:$AA$29)-SUM($AA$36,$AA$42,$AA$48,$AA$54,$AA$60,$AA$66,$AA$72:$AA$79))*Parameters!$B$37/12</f>
        <v>14963.64108068707</v>
      </c>
      <c r="D81" s="46">
        <f>(SUM($AA$18:$AA$29)-SUM($AA$36,$AA$42,$AA$48,$AA$54,$AA$60,$AA$66,$AA$72:$AA$79))*Parameters!$B$37/12</f>
        <v>14963.64108068707</v>
      </c>
      <c r="E81" s="46">
        <f>(SUM($AA$18:$AA$29)-SUM($AA$36,$AA$42,$AA$48,$AA$54,$AA$60,$AA$66,$AA$72:$AA$79))*Parameters!$B$37/12</f>
        <v>14963.64108068707</v>
      </c>
      <c r="F81" s="46">
        <f>(SUM($AA$18:$AA$29)-SUM($AA$36,$AA$42,$AA$48,$AA$54,$AA$60,$AA$66,$AA$72:$AA$79))*Parameters!$B$37/12</f>
        <v>14963.64108068707</v>
      </c>
      <c r="G81" s="46">
        <f>(SUM($AA$18:$AA$29)-SUM($AA$36,$AA$42,$AA$48,$AA$54,$AA$60,$AA$66,$AA$72:$AA$79))*Parameters!$B$37/12</f>
        <v>14963.64108068707</v>
      </c>
      <c r="H81" s="46">
        <f>(SUM($AA$18:$AA$29)-SUM($AA$36,$AA$42,$AA$48,$AA$54,$AA$60,$AA$66,$AA$72:$AA$79))*Parameters!$B$37/12</f>
        <v>14963.64108068707</v>
      </c>
      <c r="I81" s="46">
        <f>(SUM($AA$18:$AA$29)-SUM($AA$36,$AA$42,$AA$48,$AA$54,$AA$60,$AA$66,$AA$72:$AA$79))*Parameters!$B$37/12</f>
        <v>14963.64108068707</v>
      </c>
      <c r="J81" s="46">
        <f>(SUM($AA$18:$AA$29)-SUM($AA$36,$AA$42,$AA$48,$AA$54,$AA$60,$AA$66,$AA$72:$AA$79))*Parameters!$B$37/12</f>
        <v>14963.64108068707</v>
      </c>
      <c r="K81" s="46">
        <f>(SUM($AA$18:$AA$29)-SUM($AA$36,$AA$42,$AA$48,$AA$54,$AA$60,$AA$66,$AA$72:$AA$79))*Parameters!$B$37/12</f>
        <v>14963.64108068707</v>
      </c>
      <c r="L81" s="46">
        <f>(SUM($AA$18:$AA$29)-SUM($AA$36,$AA$42,$AA$48,$AA$54,$AA$60,$AA$66,$AA$72:$AA$79))*Parameters!$B$37/12</f>
        <v>14963.64108068707</v>
      </c>
      <c r="M81" s="46">
        <f>(SUM($AA$18:$AA$29)-SUM($AA$36,$AA$42,$AA$48,$AA$54,$AA$60,$AA$66,$AA$72:$AA$79))*Parameters!$B$37/12</f>
        <v>14963.64108068707</v>
      </c>
      <c r="N81" s="46">
        <f>(SUM($AA$18:$AA$29)-SUM($AA$36,$AA$42,$AA$48,$AA$54,$AA$60,$AA$66,$AA$72:$AA$79))*Parameters!$B$37/12</f>
        <v>14963.64108068707</v>
      </c>
      <c r="O81" s="46">
        <f>(SUM($AA$18:$AA$29)-SUM($AA$36,$AA$42,$AA$48,$AA$54,$AA$60,$AA$66,$AA$72:$AA$79))*Parameters!$B$37/12</f>
        <v>14963.64108068707</v>
      </c>
      <c r="P81" s="46">
        <f>(SUM($AA$18:$AA$29)-SUM($AA$36,$AA$42,$AA$48,$AA$54,$AA$60,$AA$66,$AA$72:$AA$79))*Parameters!$B$37/12</f>
        <v>14963.64108068707</v>
      </c>
      <c r="Q81" s="46">
        <f>(SUM($AA$18:$AA$29)-SUM($AA$36,$AA$42,$AA$48,$AA$54,$AA$60,$AA$66,$AA$72:$AA$79))*Parameters!$B$37/12</f>
        <v>14963.64108068707</v>
      </c>
      <c r="R81" s="46">
        <f>(SUM($AA$18:$AA$29)-SUM($AA$36,$AA$42,$AA$48,$AA$54,$AA$60,$AA$66,$AA$72:$AA$79))*Parameters!$B$37/12</f>
        <v>14963.64108068707</v>
      </c>
      <c r="S81" s="46">
        <f>(SUM($AA$18:$AA$29)-SUM($AA$36,$AA$42,$AA$48,$AA$54,$AA$60,$AA$66,$AA$72:$AA$79))*Parameters!$B$37/12</f>
        <v>14963.64108068707</v>
      </c>
      <c r="T81" s="46">
        <f>(SUM($AA$18:$AA$29)-SUM($AA$36,$AA$42,$AA$48,$AA$54,$AA$60,$AA$66,$AA$72:$AA$79))*Parameters!$B$37/12</f>
        <v>14963.64108068707</v>
      </c>
      <c r="U81" s="46">
        <f>(SUM($AA$18:$AA$29)-SUM($AA$36,$AA$42,$AA$48,$AA$54,$AA$60,$AA$66,$AA$72:$AA$79))*Parameters!$B$37/12</f>
        <v>14963.64108068707</v>
      </c>
      <c r="V81" s="46">
        <f>(SUM($AA$18:$AA$29)-SUM($AA$36,$AA$42,$AA$48,$AA$54,$AA$60,$AA$66,$AA$72:$AA$79))*Parameters!$B$37/12</f>
        <v>14963.64108068707</v>
      </c>
      <c r="W81" s="46">
        <f>(SUM($AA$18:$AA$29)-SUM($AA$36,$AA$42,$AA$48,$AA$54,$AA$60,$AA$66,$AA$72:$AA$79))*Parameters!$B$37/12</f>
        <v>14963.64108068707</v>
      </c>
      <c r="X81" s="46">
        <f>(SUM($AA$18:$AA$29)-SUM($AA$36,$AA$42,$AA$48,$AA$54,$AA$60,$AA$66,$AA$72:$AA$79))*Parameters!$B$37/12</f>
        <v>14963.64108068707</v>
      </c>
      <c r="Y81" s="46">
        <f>(SUM($AA$18:$AA$29)-SUM($AA$36,$AA$42,$AA$48,$AA$54,$AA$60,$AA$66,$AA$72:$AA$79))*Parameters!$B$37/12</f>
        <v>14963.64108068707</v>
      </c>
      <c r="Z81" s="46">
        <f>SUMIF($B$13:$Y$13,"Yes",B81:Y81)</f>
        <v>194527.334048932</v>
      </c>
      <c r="AA81" s="46">
        <f>SUM(B81:M81)</f>
        <v>179563.6929682449</v>
      </c>
      <c r="AB81" s="46">
        <f>SUM(B81:Y81)</f>
        <v>359127.3859364897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31759.47441402041</v>
      </c>
      <c r="C88" s="19">
        <f>SUM(C72:C82,C66,C60,C54,C48,C42,C36)</f>
        <v>19171.97441402041</v>
      </c>
      <c r="D88" s="19">
        <f>SUM(D72:D82,D66,D60,D54,D48,D42,D36)</f>
        <v>19171.97441402041</v>
      </c>
      <c r="E88" s="19">
        <f>SUM(E72:E82,E66,E60,E54,E48,E42,E36)</f>
        <v>28509.47441402041</v>
      </c>
      <c r="F88" s="19">
        <f>SUM(F72:F82,F66,F60,F54,F48,F42,F36)</f>
        <v>27759.47441402041</v>
      </c>
      <c r="G88" s="19">
        <f>SUM(G72:G82,G66,G60,G54,G48,G42,G36)</f>
        <v>32259.47441402041</v>
      </c>
      <c r="H88" s="19">
        <f>SUM(H72:H82,H66,H60,H54,H48,H42,H36)</f>
        <v>27759.47441402041</v>
      </c>
      <c r="I88" s="19">
        <f>SUM(I72:I82,I66,I60,I54,I48,I42,I36)</f>
        <v>19171.97441402041</v>
      </c>
      <c r="J88" s="19">
        <f>SUM(J72:J82,J66,J60,J54,J48,J42,J36)</f>
        <v>19171.97441402041</v>
      </c>
      <c r="K88" s="19">
        <f>SUM(K72:K82,K66,K60,K54,K48,K42,K36)</f>
        <v>28509.47441402041</v>
      </c>
      <c r="L88" s="19">
        <f>SUM(L72:L82,L66,L60,L54,L48,L42,L36)</f>
        <v>27759.47441402041</v>
      </c>
      <c r="M88" s="19">
        <f>SUM(M72:M82,M66,M60,M54,M48,M42,M36)</f>
        <v>32259.47441402041</v>
      </c>
      <c r="N88" s="19">
        <f>SUM(N72:N82,N66,N60,N54,N48,N42,N36)</f>
        <v>31759.47441402041</v>
      </c>
      <c r="O88" s="19">
        <f>SUM(O72:O82,O66,O60,O54,O48,O42,O36)</f>
        <v>19171.97441402041</v>
      </c>
      <c r="P88" s="19">
        <f>SUM(P72:P82,P66,P60,P54,P48,P42,P36)</f>
        <v>19171.97441402041</v>
      </c>
      <c r="Q88" s="19">
        <f>SUM(Q72:Q82,Q66,Q60,Q54,Q48,Q42,Q36)</f>
        <v>28509.47441402041</v>
      </c>
      <c r="R88" s="19">
        <f>SUM(R72:R82,R66,R60,R54,R48,R42,R36)</f>
        <v>27759.47441402041</v>
      </c>
      <c r="S88" s="19">
        <f>SUM(S72:S82,S66,S60,S54,S48,S42,S36)</f>
        <v>32259.47441402041</v>
      </c>
      <c r="T88" s="19">
        <f>SUM(T72:T82,T66,T60,T54,T48,T42,T36)</f>
        <v>27759.47441402041</v>
      </c>
      <c r="U88" s="19">
        <f>SUM(U72:U82,U66,U60,U54,U48,U42,U36)</f>
        <v>19171.97441402041</v>
      </c>
      <c r="V88" s="19">
        <f>SUM(V72:V82,V66,V60,V54,V48,V42,V36)</f>
        <v>19171.97441402041</v>
      </c>
      <c r="W88" s="19">
        <f>SUM(W72:W82,W66,W60,W54,W48,W42,W36)</f>
        <v>28509.47441402041</v>
      </c>
      <c r="X88" s="19">
        <f>SUM(X72:X82,X66,X60,X54,X48,X42,X36)</f>
        <v>27759.47441402041</v>
      </c>
      <c r="Y88" s="19">
        <f>SUM(Y72:Y82,Y66,Y60,Y54,Y48,Y42,Y36)</f>
        <v>32259.47441402041</v>
      </c>
      <c r="Z88" s="19">
        <f>SUMIF($B$13:$Y$13,"Yes",B88:Y88)</f>
        <v>345023.1673822653</v>
      </c>
      <c r="AA88" s="19">
        <f>SUM(B88:M88)</f>
        <v>313263.6929682448</v>
      </c>
      <c r="AB88" s="19">
        <f>SUM(B88:Y88)</f>
        <v>626527.3859364899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4652000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 t="s">
        <v>89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113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</v>
      </c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120000</v>
      </c>
    </row>
    <row r="46" spans="1:48" customHeight="1" ht="30">
      <c r="A46" s="57" t="s">
        <v>133</v>
      </c>
      <c r="B46" s="161">
        <v>50000</v>
      </c>
    </row>
    <row r="47" spans="1:48" customHeight="1" ht="30">
      <c r="A47" s="57" t="s">
        <v>134</v>
      </c>
      <c r="B47" s="161">
        <v>20000</v>
      </c>
    </row>
    <row r="48" spans="1:48" customHeight="1" ht="30">
      <c r="A48" s="57" t="s">
        <v>135</v>
      </c>
      <c r="B48" s="161">
        <v>3000000</v>
      </c>
    </row>
    <row r="49" spans="1:48" customHeight="1" ht="30">
      <c r="A49" s="57" t="s">
        <v>136</v>
      </c>
      <c r="B49" s="161">
        <v>12000</v>
      </c>
    </row>
    <row r="50" spans="1:48">
      <c r="A50" s="43"/>
      <c r="B50" s="36"/>
    </row>
    <row r="51" spans="1:48">
      <c r="A51" s="58" t="s">
        <v>137</v>
      </c>
      <c r="B51" s="161">
        <v>1500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4500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6000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147</v>
      </c>
    </row>
    <row r="58" spans="1:48">
      <c r="A58" s="157">
        <v>6000</v>
      </c>
      <c r="B58" s="157">
        <v>0</v>
      </c>
      <c r="C58" s="164" t="s">
        <v>150</v>
      </c>
      <c r="D58" s="165" t="s">
        <v>146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154</v>
      </c>
      <c r="B66" s="159">
        <v>77615</v>
      </c>
      <c r="C66" s="163">
        <v>71813</v>
      </c>
      <c r="D66" s="49">
        <f>INDEX(Parameters!$D$79:$D$90,MATCH(Inputs!A66,Parameters!$C$79:$C$90,0))</f>
        <v>9</v>
      </c>
    </row>
    <row r="67" spans="1:48">
      <c r="A67" s="143" t="s">
        <v>155</v>
      </c>
      <c r="B67" s="157">
        <v>51617</v>
      </c>
      <c r="C67" s="165">
        <v>40977</v>
      </c>
      <c r="D67" s="49">
        <f>INDEX(Parameters!$D$79:$D$90,MATCH(Inputs!A67,Parameters!$C$79:$C$90,0))</f>
        <v>8</v>
      </c>
    </row>
    <row r="68" spans="1:48">
      <c r="A68" s="143" t="s">
        <v>156</v>
      </c>
      <c r="B68" s="157">
        <v>64230</v>
      </c>
      <c r="C68" s="165">
        <v>56254</v>
      </c>
      <c r="D68" s="49">
        <f>INDEX(Parameters!$D$79:$D$90,MATCH(Inputs!A68,Parameters!$C$79:$C$90,0))</f>
        <v>7</v>
      </c>
    </row>
    <row r="69" spans="1:48">
      <c r="A69" s="143" t="s">
        <v>157</v>
      </c>
      <c r="B69" s="157">
        <v>57560</v>
      </c>
      <c r="C69" s="165">
        <v>50422</v>
      </c>
      <c r="D69" s="49">
        <f>INDEX(Parameters!$D$79:$D$90,MATCH(Inputs!A69,Parameters!$C$79:$C$90,0))</f>
        <v>6</v>
      </c>
    </row>
    <row r="70" spans="1:48">
      <c r="A70" s="143" t="s">
        <v>158</v>
      </c>
      <c r="B70" s="157">
        <v>171463</v>
      </c>
      <c r="C70" s="165">
        <v>156763</v>
      </c>
      <c r="D70" s="49">
        <f>INDEX(Parameters!$D$79:$D$90,MATCH(Inputs!A70,Parameters!$C$79:$C$90,0))</f>
        <v>5</v>
      </c>
    </row>
    <row r="71" spans="1:48">
      <c r="A71" s="144" t="s">
        <v>159</v>
      </c>
      <c r="B71" s="158">
        <v>91456</v>
      </c>
      <c r="C71" s="167">
        <v>85470</v>
      </c>
      <c r="D71" s="49">
        <f>INDEX(Parameters!$D$79:$D$90,MATCH(Inputs!A71,Parameters!$C$79:$C$90,0))</f>
        <v>4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43009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246375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4500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43045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165</v>
      </c>
      <c r="G33" s="128">
        <f>IF(Inputs!B79="","",DATE(YEAR(Inputs!B79),MONTH(Inputs!B79),DAY(Inputs!B79)))</f>
        <v>43014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166</v>
      </c>
      <c r="G34" s="128">
        <f>IF(Inputs!B80="","",DATE(YEAR(Inputs!B80),MONTH(Inputs!B80),DAY(Inputs!B80)))</f>
        <v>43045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233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100</v>
      </c>
      <c r="B41" s="191" t="s">
        <v>317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130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130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317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363</v>
      </c>
      <c r="F79" s="12" t="s">
        <v>364</v>
      </c>
      <c r="G79" s="12" t="s">
        <v>113</v>
      </c>
      <c r="I79" s="12" t="s">
        <v>171</v>
      </c>
      <c r="J79" s="70" t="s">
        <v>365</v>
      </c>
      <c r="K79" s="12" t="s">
        <v>317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98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