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<sst xmlns="http://schemas.openxmlformats.org/spreadsheetml/2006/main" uniqueCount="373">
  <si>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</si>
  <si>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</si>
  <si>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</si>
  <si>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</si>
  <si>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</si>
  <si>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</si>
  <si>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</si>
  <si>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</si>
  <si>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</si>
  <si>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</si>
  <si>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</si>
  <si>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</si>
  <si>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</si>
  <si>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</si>
  <si>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</si>
  <si>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</si>
  <si>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</si>
  <si>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</si>
  <si>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</si>
  <si>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</si>
  <si>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</si>
  <si>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</si>
  <si>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</si>
  <si>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</si>
  <si>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</si>
  <si>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</si>
  <si>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</si>
  <si>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</si>
  <si>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</si>
  <si>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</si>
  <si>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</si>
  <si>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</si>
  <si>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</si>
  <si>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</si>
  <si>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</si>
  <si>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</si>
  <si>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</si>
  <si>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</si>
  <si>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</si>
  <si>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</si>
  <si>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</si>
  <si>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</si>
  <si>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</si>
  <si>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</si>
  <si>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</si>
  <si>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</si>
  <si>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</si>
  <si>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</si>
  <si>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</si>
  <si>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</si>
  <si>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</si>
  <si>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</si>
  <si>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</si>
  <si>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</si>
  <si>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</si>
  <si>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</si>
  <si>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</si>
  <si>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</si>
  <si>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</si>
  <si>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</si>
  <si>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</si>
  <si>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</si>
  <si>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</si>
  <si>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</si>
  <si>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</si>
  <si>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</si>
  <si>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</si>
  <si>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</si>
  <si>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</si>
  <si>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</si>
  <si>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</si>
  <si>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</si>
  <si>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</si>
  <si>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</si>
  <si>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</si>
  <si>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</si>
  <si>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</si>
  <si>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</si>
  <si>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</si>
  <si>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</si>
  <si>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</si>
  <si>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</si>
  <si>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</si>
  <si>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</si>
  <si>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</si>
  <si>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</si>
  <si>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</si>
  <si>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</si>
  <si>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</si>
  <si>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</si>
  <si>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</si>
  <si>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only manure</t>
  </si>
  <si>
    <t>Yes</t>
  </si>
  <si>
    <t>Yes without the use of a pump</t>
  </si>
  <si>
    <t>October</t>
  </si>
  <si>
    <t>Maize</t>
  </si>
  <si>
    <t>December</t>
  </si>
  <si>
    <t>Other crops</t>
  </si>
  <si>
    <t>November</t>
  </si>
  <si>
    <t>spinach</t>
  </si>
  <si>
    <t>every month</t>
  </si>
  <si>
    <t>January</t>
  </si>
  <si>
    <t>Home recycled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</si>
  <si>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</si>
  <si>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</si>
  <si>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</si>
  <si>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</si>
  <si>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</si>
  <si>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</si>
  <si>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</si>
  <si>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</si>
  <si>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</si>
  <si>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</si>
  <si>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</si>
  <si>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</si>
  <si>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</si>
  <si>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</si>
  <si>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</si>
  <si>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</si>
  <si>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</si>
  <si>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Green grocer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</si>
  <si>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</si>
  <si>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</si>
  <si>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</si>
  <si>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</si>
  <si>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</si>
  <si>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</si>
  <si>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</si>
  <si>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</si>
  <si>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</si>
  <si>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</si>
  <si>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</si>
  <si>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</si>
  <si>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</si>
  <si>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</si>
  <si>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</si>
  <si>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</si>
  <si>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</si>
  <si>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</si>
  <si>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</si>
  <si>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</si>
  <si>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</si>
  <si>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</si>
  <si>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</si>
  <si>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</si>
  <si>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</si>
  <si>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</si>
  <si>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</si>
  <si>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9/4/2017</t>
  </si>
  <si>
    <t>premier kenya limited</t>
  </si>
  <si>
    <t>paid as required</t>
  </si>
  <si>
    <t>6/8/2017</t>
  </si>
  <si>
    <t>full settled</t>
  </si>
  <si>
    <t>No</t>
  </si>
  <si>
    <t>10/9/2017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</si>
  <si>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</si>
  <si>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</si>
  <si>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</si>
  <si>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</si>
  <si>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</si>
  <si>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</si>
  <si>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</si>
  <si>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</si>
  <si>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</si>
  <si>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</si>
  <si>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</si>
  <si>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</si>
  <si>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2017/10/9</t>
  </si>
  <si>
    <t>Loan terms</t>
  </si>
  <si>
    <t>Expected disbursement date</t>
  </si>
  <si>
    <t>Expected first repayment date</t>
  </si>
  <si>
    <t>2017/11/9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</si>
  <si>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</si>
  <si>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</si>
  <si>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</si>
  <si>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</si>
  <si>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</si>
  <si>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</si>
  <si>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</si>
  <si>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</si>
  <si>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</si>
  <si>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</si>
  <si>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</si>
  <si>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</si>
  <si>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</si>
  <si>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</si>
  <si>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</si>
  <si>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</si>
  <si>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</si>
  <si>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</si>
  <si>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</si>
  <si>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</si>
  <si>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</si>
  <si>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</si>
  <si>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</si>
  <si>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</si>
  <si>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</si>
  <si>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</si>
  <si>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</si>
  <si>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</si>
  <si>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</si>
  <si>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</si>
  <si>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</si>
  <si>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</si>
  <si>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</si>
  <si>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</si>
  <si>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</si>
  <si>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</si>
  <si>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</si>
  <si>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</si>
  <si>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</si>
  <si>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</si>
  <si>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</si>
  <si>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</si>
  <si>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</si>
  <si>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</si>
  <si>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</si>
  <si>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</si>
  <si>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</si>
  <si>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</si>
  <si>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</si>
  <si>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</si>
  <si>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</si>
  <si>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</si>
  <si>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</si>
  <si>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</si>
  <si>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</si>
  <si>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</si>
  <si>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</si>
  <si>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</si>
  <si>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</si>
  <si>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</si>
  <si>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</si>
  <si>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</si>
  <si>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</si>
  <si>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</si>
  <si>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</si>
  <si>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</si>
  <si>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</si>
  <si>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</si>
  <si>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</si>
  <si>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</si>
  <si>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</si>
  <si>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</si>
  <si>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</si>
  <si>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</si>
  <si>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</si>
  <si>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</si>
  <si>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</si>
  <si>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</si>
  <si>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</si>
  <si>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</si>
  <si>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</si>
  <si>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</si>
  <si>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</si>
  <si>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</si>
  <si>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</si>
  <si>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</si>
  <si>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</si>
  <si>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</si>
  <si>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</si>
  <si>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</si>
  <si>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</si>
  <si>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</si>
  <si>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</si>
  <si>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</si>
  <si>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</si>
  <si>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</si>
  <si>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</si>
  <si>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</si>
  <si>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</si>
  <si>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</si>
  <si>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</si>
  <si>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</si>
  <si>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</si>
  <si>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</si>
  <si>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</si>
  <si>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</si>
  <si>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</si>
  <si>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</si>
  <si>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</si>
  <si>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</si>
  <si>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</si>
  <si>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</si>
  <si>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</si>
  <si>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</si>
  <si>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</si>
  <si>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</si>
  <si>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</si>
  <si>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</si>
  <si>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</si>
  <si>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</si>
  <si>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</si>
  <si>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</si>
  <si>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</si>
  <si>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</si>
  <si>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</si>
  <si>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</si>
  <si>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</si>
  <si>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</si>
  <si>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</si>
  <si>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</si>
  <si>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</si>
  <si>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</si>
  <si>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</si>
  <si>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</si>
  <si>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</si>
  <si>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</si>
  <si>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</si>
  <si>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</si>
  <si>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</si>
  <si>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</si>
  <si>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</si>
  <si>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</si>
  <si>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</si>
  <si>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</si>
  <si>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</si>
  <si>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</si>
  <si>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</si>
  <si>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</si>
  <si>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</si>
  <si>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</si>
  <si>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</si>
  <si>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</si>
  <si>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</si>
  <si>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</si>
  <si>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</si>
  <si>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</si>
  <si>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</si>
  <si>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</si>
  <si>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</si>
  <si>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</si>
  <si>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</si>
  <si>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</si>
  <si>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</si>
  <si>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</si>
  <si>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</si>
  <si>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</si>
  <si>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</si>
  <si>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</si>
  <si>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</si>
  <si>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</si>
  <si>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</si>
  <si>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</si>
  <si>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</si>
  <si>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</si>
  <si>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</si>
  <si>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</si>
  <si>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</si>
  <si>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</si>
  <si>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</si>
  <si>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</si>
  <si>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</si>
  <si>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</si>
  <si>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</si>
  <si>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</si>
  <si>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</si>
  <si>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</si>
  <si>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</si>
  <si>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</si>
  <si>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</si>
  <si>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</si>
  <si>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</si>
  <si>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</si>
  <si>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</si>
  <si>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</si>
  <si>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</si>
  <si>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</si>
  <si>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</si>
  <si>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</si>
  <si>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</si>
  <si>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March</t>
  </si>
  <si>
    <t>NGO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</si>
</sst>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Maize, 0, spinach,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Green grocer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0.3699282157687205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0.002815630358270914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337372.4269646583</v>
      </c>
    </row>
    <row r="18" spans="1:7">
      <c r="B18" s="1" t="s">
        <v>12</v>
      </c>
      <c r="C18" s="36">
        <f>MIN(Output!B6:M6)</f>
        <v>-2002.234884490819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174009.3680112048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3740</v>
      </c>
    </row>
    <row r="25" spans="1:7">
      <c r="B25" s="1" t="s">
        <v>18</v>
      </c>
      <c r="C25" s="36">
        <f>MAX(Inputs!A56:A60)</f>
        <v>10200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-791.5382212698132</v>
      </c>
      <c r="C6" s="51">
        <f>C30-C88</f>
        <v>-2002.234884490819</v>
      </c>
      <c r="D6" s="51">
        <f>D30-D88</f>
        <v>-1857.991541796036</v>
      </c>
      <c r="E6" s="51">
        <f>E30-E88</f>
        <v>174009.3680112048</v>
      </c>
      <c r="F6" s="51">
        <f>F30-F88</f>
        <v>-1985.694940659516</v>
      </c>
      <c r="G6" s="51">
        <f>G30-G88</f>
        <v>-1685.694940659516</v>
      </c>
      <c r="H6" s="51">
        <f>H30-H88</f>
        <v>-791.5382212698132</v>
      </c>
      <c r="I6" s="51">
        <f>I30-I88</f>
        <v>3997.765115509181</v>
      </c>
      <c r="J6" s="51">
        <f>J30-J88</f>
        <v>-1857.991541796036</v>
      </c>
      <c r="K6" s="51">
        <f>K30-K88</f>
        <v>174009.3680112048</v>
      </c>
      <c r="L6" s="51">
        <f>L30-L88</f>
        <v>-1985.694940659516</v>
      </c>
      <c r="M6" s="51">
        <f>M30-M88</f>
        <v>-1685.694940659516</v>
      </c>
      <c r="N6" s="51">
        <f>N30-N88</f>
        <v>-791.5382212698132</v>
      </c>
      <c r="O6" s="51">
        <f>O30-O88</f>
        <v>-2002.234884490819</v>
      </c>
      <c r="P6" s="51">
        <f>P30-P88</f>
        <v>-1710.450558189481</v>
      </c>
      <c r="Q6" s="51">
        <f>Q30-Q88</f>
        <v>174575.037410112</v>
      </c>
      <c r="R6" s="51">
        <f>R30-R88</f>
        <v>-1420.025541752413</v>
      </c>
      <c r="S6" s="51">
        <f>S30-S88</f>
        <v>-1120.025541752413</v>
      </c>
      <c r="T6" s="51">
        <f>T30-T88</f>
        <v>-225.8688223627105</v>
      </c>
      <c r="U6" s="51">
        <f>U30-U88</f>
        <v>4563.434514416283</v>
      </c>
      <c r="V6" s="51">
        <f>V30-V88</f>
        <v>-1292.322142888934</v>
      </c>
      <c r="W6" s="51">
        <f>W30-W88</f>
        <v>174575.037410112</v>
      </c>
      <c r="X6" s="51">
        <f>X30-X88</f>
        <v>-1420.025541752413</v>
      </c>
      <c r="Y6" s="51">
        <f>Y30-Y88</f>
        <v>-1120.025541752413</v>
      </c>
      <c r="Z6" s="51">
        <f>SUMIF($B$13:$Y$13,"Yes",B6:Y6)</f>
        <v>336580.8887433885</v>
      </c>
      <c r="AA6" s="51">
        <f>AA30-AA88</f>
        <v>337372.4269646583</v>
      </c>
      <c r="AB6" s="51">
        <f>AB30-AB88</f>
        <v>679983.4195030869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-971</v>
      </c>
      <c r="I7" s="80">
        <f>IF(ISERROR(VLOOKUP(MONTH(I5),Inputs!$D$66:$D$71,1,0)),"",INDEX(Inputs!$B$66:$B$71,MATCH(MONTH(Output!I5),Inputs!$D$66:$D$71,0))-INDEX(Inputs!$C$66:$C$71,MATCH(MONTH(Output!I5),Inputs!$D$66:$D$71,0)))</f>
        <v>3494</v>
      </c>
      <c r="J7" s="80">
        <f>IF(ISERROR(VLOOKUP(MONTH(J5),Inputs!$D$66:$D$71,1,0)),"",INDEX(Inputs!$B$66:$B$71,MATCH(MONTH(Output!J5),Inputs!$D$66:$D$71,0))-INDEX(Inputs!$C$66:$C$71,MATCH(MONTH(Output!J5),Inputs!$D$66:$D$71,0)))</f>
        <v>-3484</v>
      </c>
      <c r="K7" s="80">
        <f>IF(ISERROR(VLOOKUP(MONTH(K5),Inputs!$D$66:$D$71,1,0)),"",INDEX(Inputs!$B$66:$B$71,MATCH(MONTH(Output!K5),Inputs!$D$66:$D$71,0))-INDEX(Inputs!$C$66:$C$71,MATCH(MONTH(Output!K5),Inputs!$D$66:$D$71,0)))</f>
        <v>3512</v>
      </c>
      <c r="L7" s="80">
        <f>IF(ISERROR(VLOOKUP(MONTH(L5),Inputs!$D$66:$D$71,1,0)),"",INDEX(Inputs!$B$66:$B$71,MATCH(MONTH(Output!L5),Inputs!$D$66:$D$71,0))-INDEX(Inputs!$C$66:$C$71,MATCH(MONTH(Output!L5),Inputs!$D$66:$D$71,0)))</f>
        <v>-3498</v>
      </c>
      <c r="M7" s="80">
        <f>IF(ISERROR(VLOOKUP(MONTH(M5),Inputs!$D$66:$D$71,1,0)),"",INDEX(Inputs!$B$66:$B$71,MATCH(MONTH(Output!M5),Inputs!$D$66:$D$71,0))-INDEX(Inputs!$C$66:$C$71,MATCH(MONTH(Output!M5),Inputs!$D$66:$D$71,0)))</f>
        <v>524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-971</v>
      </c>
      <c r="U7" s="80">
        <f>IF(ISERROR(VLOOKUP(MONTH(U5),Inputs!$D$66:$D$71,1,0)),"",INDEX(Inputs!$B$66:$B$71,MATCH(MONTH(Output!U5),Inputs!$D$66:$D$71,0))-INDEX(Inputs!$C$66:$C$71,MATCH(MONTH(Output!U5),Inputs!$D$66:$D$71,0)))</f>
        <v>3494</v>
      </c>
      <c r="V7" s="80">
        <f>IF(ISERROR(VLOOKUP(MONTH(V5),Inputs!$D$66:$D$71,1,0)),"",INDEX(Inputs!$B$66:$B$71,MATCH(MONTH(Output!V5),Inputs!$D$66:$D$71,0))-INDEX(Inputs!$C$66:$C$71,MATCH(MONTH(Output!V5),Inputs!$D$66:$D$71,0)))</f>
        <v>-3484</v>
      </c>
      <c r="W7" s="80">
        <f>IF(ISERROR(VLOOKUP(MONTH(W5),Inputs!$D$66:$D$71,1,0)),"",INDEX(Inputs!$B$66:$B$71,MATCH(MONTH(Output!W5),Inputs!$D$66:$D$71,0))-INDEX(Inputs!$C$66:$C$71,MATCH(MONTH(Output!W5),Inputs!$D$66:$D$71,0)))</f>
        <v>3512</v>
      </c>
      <c r="X7" s="80">
        <f>IF(ISERROR(VLOOKUP(MONTH(X5),Inputs!$D$66:$D$71,1,0)),"",INDEX(Inputs!$B$66:$B$71,MATCH(MONTH(Output!X5),Inputs!$D$66:$D$71,0))-INDEX(Inputs!$C$66:$C$71,MATCH(MONTH(Output!X5),Inputs!$D$66:$D$71,0)))</f>
        <v>-3498</v>
      </c>
      <c r="Y7" s="80">
        <f>IF(ISERROR(VLOOKUP(MONTH(Y5),Inputs!$D$66:$D$71,1,0)),"",INDEX(Inputs!$B$66:$B$71,MATCH(MONTH(Output!Y5),Inputs!$D$66:$D$71,0))-INDEX(Inputs!$C$66:$C$71,MATCH(MONTH(Output!Y5),Inputs!$D$66:$D$71,0)))</f>
        <v>524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149208.4617787302</v>
      </c>
      <c r="C11" s="80">
        <f>C6+C9-C10</f>
        <v>-17002.23488449082</v>
      </c>
      <c r="D11" s="80">
        <f>D6+D9-D10</f>
        <v>-16857.99154179604</v>
      </c>
      <c r="E11" s="80">
        <f>E6+E9-E10</f>
        <v>159009.3680112048</v>
      </c>
      <c r="F11" s="80">
        <f>F6+F9-F10</f>
        <v>-16985.69494065952</v>
      </c>
      <c r="G11" s="80">
        <f>G6+G9-G10</f>
        <v>-16685.69494065952</v>
      </c>
      <c r="H11" s="80">
        <f>H6+H9-H10</f>
        <v>-15791.53822126981</v>
      </c>
      <c r="I11" s="80">
        <f>I6+I9-I10</f>
        <v>-11002.23488449082</v>
      </c>
      <c r="J11" s="80">
        <f>J6+J9-J10</f>
        <v>-16857.99154179604</v>
      </c>
      <c r="K11" s="80">
        <f>K6+K9-K10</f>
        <v>159009.3680112048</v>
      </c>
      <c r="L11" s="80">
        <f>L6+L9-L10</f>
        <v>-16985.69494065952</v>
      </c>
      <c r="M11" s="80">
        <f>M6+M9-M10</f>
        <v>-16685.69494065952</v>
      </c>
      <c r="N11" s="80">
        <f>N6+N9-N10</f>
        <v>-15791.53822126981</v>
      </c>
      <c r="O11" s="80">
        <f>O6+O9-O10</f>
        <v>-2002.234884490819</v>
      </c>
      <c r="P11" s="80">
        <f>P6+P9-P10</f>
        <v>-1710.450558189481</v>
      </c>
      <c r="Q11" s="80">
        <f>Q6+Q9-Q10</f>
        <v>174575.037410112</v>
      </c>
      <c r="R11" s="80">
        <f>R6+R9-R10</f>
        <v>-1420.025541752413</v>
      </c>
      <c r="S11" s="80">
        <f>S6+S9-S10</f>
        <v>-1120.025541752413</v>
      </c>
      <c r="T11" s="80">
        <f>T6+T9-T10</f>
        <v>-225.8688223627105</v>
      </c>
      <c r="U11" s="80">
        <f>U6+U9-U10</f>
        <v>4563.434514416283</v>
      </c>
      <c r="V11" s="80">
        <f>V6+V9-V10</f>
        <v>-1292.322142888934</v>
      </c>
      <c r="W11" s="80">
        <f>W6+W9-W10</f>
        <v>174575.037410112</v>
      </c>
      <c r="X11" s="80">
        <f>X6+X9-X10</f>
        <v>-1420.025541752413</v>
      </c>
      <c r="Y11" s="80">
        <f>Y6+Y9-Y10</f>
        <v>-1120.025541752413</v>
      </c>
      <c r="Z11" s="85">
        <f>SUMIF($B$13:$Y$13,"Yes",B11:Y11)</f>
        <v>306580.8887433885</v>
      </c>
      <c r="AA11" s="80">
        <f>SUM(B11:M11)</f>
        <v>322372.4269646583</v>
      </c>
      <c r="AB11" s="46">
        <f>SUM(B11:Y11)</f>
        <v>649983.4195030871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0.1018978634020474</v>
      </c>
      <c r="D12" s="82">
        <f>IF(D13="Yes",IF(SUM($B$10:D10)/(SUM($B$6:D6)+SUM($B$9:D9))&lt;0,999.99,SUM($B$10:D10)/(SUM($B$6:D6)+SUM($B$9:D9))),"")</f>
        <v>0.2064008546595381</v>
      </c>
      <c r="E12" s="82">
        <f>IF(E13="Yes",IF(SUM($B$10:E10)/(SUM($B$6:E6)+SUM($B$9:E9))&lt;0,999.99,SUM($B$10:E10)/(SUM($B$6:E6)+SUM($B$9:E9))),"")</f>
        <v>0.140907871070034</v>
      </c>
      <c r="F12" s="82">
        <f>IF(F13="Yes",IF(SUM($B$10:F10)/(SUM($B$6:F6)+SUM($B$9:F9))&lt;0,999.99,SUM($B$10:F10)/(SUM($B$6:F6)+SUM($B$9:F9))),"")</f>
        <v>0.1890526489825081</v>
      </c>
      <c r="G12" s="82">
        <f>IF(G13="Yes",IF(SUM($B$10:G10)/(SUM($B$6:G6)+SUM($B$9:G9))&lt;0,999.99,SUM($B$10:G10)/(SUM($B$6:G6)+SUM($B$9:G9))),"")</f>
        <v>0.2375776856793216</v>
      </c>
      <c r="H12" s="82">
        <f>IF(H13="Yes",IF(SUM($B$10:H10)/(SUM($B$6:H6)+SUM($B$9:H9))&lt;0,999.99,SUM($B$10:H10)/(SUM($B$6:H6)+SUM($B$9:H9))),"")</f>
        <v>0.2858098503107005</v>
      </c>
      <c r="I12" s="82">
        <f>IF(I13="Yes",IF(SUM($B$10:I10)/(SUM($B$6:I6)+SUM($B$9:I9))&lt;0,999.99,SUM($B$10:I10)/(SUM($B$6:I6)+SUM($B$9:I9))),"")</f>
        <v>0.3292646256399471</v>
      </c>
      <c r="J12" s="82">
        <f>IF(J13="Yes",IF(SUM($B$10:J10)/(SUM($B$6:J6)+SUM($B$9:J9))&lt;0,999.99,SUM($B$10:J10)/(SUM($B$6:J6)+SUM($B$9:J9))),"")</f>
        <v>0.3785077629293841</v>
      </c>
      <c r="K12" s="82">
        <f>IF(K13="Yes",IF(SUM($B$10:K10)/(SUM($B$6:K6)+SUM($B$9:K9))&lt;0,999.99,SUM($B$10:K10)/(SUM($B$6:K6)+SUM($B$9:K9))),"")</f>
        <v>0.2749245492329346</v>
      </c>
      <c r="L12" s="82">
        <f>IF(L13="Yes",IF(SUM($B$10:L10)/(SUM($B$6:L6)+SUM($B$9:L9))&lt;0,999.99,SUM($B$10:L10)/(SUM($B$6:L6)+SUM($B$9:L9))),"")</f>
        <v>0.3067120108661444</v>
      </c>
      <c r="M12" s="82">
        <f>IF(M13="Yes",IF(SUM($B$10:M10)/(SUM($B$6:M6)+SUM($B$9:M9))&lt;0,999.99,SUM($B$10:M10)/(SUM($B$6:M6)+SUM($B$9:M9))),"")</f>
        <v>0.338550133062749</v>
      </c>
      <c r="N12" s="82">
        <f>IF(N13="Yes",IF(SUM($B$10:N10)/(SUM($B$6:N6)+SUM($B$9:N9))&lt;0,999.99,SUM($B$10:N10)/(SUM($B$6:N6)+SUM($B$9:N9))),"")</f>
        <v>0.3699282157687205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168117.1162103061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168117.1162103061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168117.1162103061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168117.1162103061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4736.216713473915</v>
      </c>
      <c r="C19" s="36">
        <f>O19</f>
        <v>5683.460056168698</v>
      </c>
      <c r="D19" s="36">
        <f>P19</f>
        <v>6630.70339886348</v>
      </c>
      <c r="E19" s="36">
        <f>Q19</f>
        <v>7577.946741558264</v>
      </c>
      <c r="F19" s="36">
        <f>R19</f>
        <v>0</v>
      </c>
      <c r="G19" s="36">
        <f>S19</f>
        <v>0</v>
      </c>
      <c r="H19" s="36">
        <f>T19</f>
        <v>4736.216713473915</v>
      </c>
      <c r="I19" s="36">
        <f>U19</f>
        <v>5683.460056168698</v>
      </c>
      <c r="J19" s="36">
        <f>V19</f>
        <v>6630.70339886348</v>
      </c>
      <c r="K19" s="36">
        <f>W19</f>
        <v>7577.946741558264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4736.216713473915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5683.460056168698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6630.70339886348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7577.946741558264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4736.216713473915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5683.460056168698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6630.70339886348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7577.946741558264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53992.87053360263</v>
      </c>
      <c r="AA19" s="36">
        <f>SUM(B19:M19)</f>
        <v>49256.65382012871</v>
      </c>
      <c r="AB19" s="36">
        <f>SUM(B19:Y19)</f>
        <v>98513.30764025742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spinach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24736.21671347391</v>
      </c>
      <c r="C30" s="19">
        <f>SUM(C18:C29)</f>
        <v>25683.4600561687</v>
      </c>
      <c r="D30" s="19">
        <f>SUM(D18:D29)</f>
        <v>26630.70339886348</v>
      </c>
      <c r="E30" s="19">
        <f>SUM(E18:E29)</f>
        <v>195695.0629518644</v>
      </c>
      <c r="F30" s="19">
        <f>SUM(F18:F29)</f>
        <v>20000</v>
      </c>
      <c r="G30" s="19">
        <f>SUM(G18:G29)</f>
        <v>20000</v>
      </c>
      <c r="H30" s="19">
        <f>SUM(H18:H29)</f>
        <v>24736.21671347391</v>
      </c>
      <c r="I30" s="19">
        <f>SUM(I18:I29)</f>
        <v>25683.4600561687</v>
      </c>
      <c r="J30" s="19">
        <f>SUM(J18:J29)</f>
        <v>26630.70339886348</v>
      </c>
      <c r="K30" s="19">
        <f>SUM(K18:K29)</f>
        <v>195695.0629518644</v>
      </c>
      <c r="L30" s="19">
        <f>SUM(L18:L29)</f>
        <v>20000</v>
      </c>
      <c r="M30" s="19">
        <f>SUM(M18:M29)</f>
        <v>20000</v>
      </c>
      <c r="N30" s="19">
        <f>SUM(N18:N29)</f>
        <v>24736.21671347391</v>
      </c>
      <c r="O30" s="19">
        <f>SUM(O18:O29)</f>
        <v>25683.4600561687</v>
      </c>
      <c r="P30" s="19">
        <f>SUM(P18:P29)</f>
        <v>26630.70339886348</v>
      </c>
      <c r="Q30" s="19">
        <f>SUM(Q18:Q29)</f>
        <v>195695.0629518644</v>
      </c>
      <c r="R30" s="19">
        <f>SUM(R18:R29)</f>
        <v>20000</v>
      </c>
      <c r="S30" s="19">
        <f>SUM(S18:S29)</f>
        <v>20000</v>
      </c>
      <c r="T30" s="19">
        <f>SUM(T18:T29)</f>
        <v>24736.21671347391</v>
      </c>
      <c r="U30" s="19">
        <f>SUM(U18:U29)</f>
        <v>25683.4600561687</v>
      </c>
      <c r="V30" s="19">
        <f>SUM(V18:V29)</f>
        <v>26630.70339886348</v>
      </c>
      <c r="W30" s="19">
        <f>SUM(W18:W29)</f>
        <v>195695.0629518644</v>
      </c>
      <c r="X30" s="19">
        <f>SUM(X18:X29)</f>
        <v>20000</v>
      </c>
      <c r="Y30" s="19">
        <f>SUM(Y18:Y29)</f>
        <v>20000</v>
      </c>
      <c r="Z30" s="19">
        <f>SUMIF($B$13:$Y$13,"Yes",B30:Y30)</f>
        <v>650227.1029542148</v>
      </c>
      <c r="AA30" s="19">
        <f>SUM(B30:M30)</f>
        <v>625490.8862407409</v>
      </c>
      <c r="AB30" s="19">
        <f>SUM(B30:Y30)</f>
        <v>1250981.772481482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6000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</v>
      </c>
      <c r="O36" s="36">
        <f>SUM(O37:O41)</f>
        <v>6000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14000</v>
      </c>
      <c r="AB36" s="36">
        <f>SUM(B36:Y36)</f>
        <v>28000</v>
      </c>
      <c r="AC36" s="73"/>
    </row>
    <row r="37" spans="1:30" hidden="true" outlineLevel="1">
      <c r="A37" s="181" t="str">
        <f>Calculations!$A$4</f>
        <v>Tomatoes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2000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2000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2000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2000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2000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2000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2000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2000</v>
      </c>
      <c r="AA41" s="36">
        <f>SUM(B41:M41)</f>
        <v>2000</v>
      </c>
      <c r="AB41" s="36">
        <f>SUM(B41:Y41)</f>
        <v>4000</v>
      </c>
      <c r="AC41" s="73"/>
    </row>
    <row r="42" spans="1:30" collapsed="true">
      <c r="A42" t="s">
        <v>40</v>
      </c>
      <c r="B42" s="36">
        <f>N42</f>
        <v>750</v>
      </c>
      <c r="C42" s="36">
        <f>O42</f>
        <v>0</v>
      </c>
      <c r="D42" s="36">
        <f>P42</f>
        <v>303.0000000000001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</v>
      </c>
      <c r="I42" s="36">
        <f>U42</f>
        <v>0</v>
      </c>
      <c r="J42" s="36">
        <f>V42</f>
        <v>303.0000000000001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750</v>
      </c>
      <c r="O42" s="36">
        <f>SUM(O43:O47)</f>
        <v>0</v>
      </c>
      <c r="P42" s="36">
        <f>SUM(P43:P47)</f>
        <v>303.0000000000001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</v>
      </c>
      <c r="U42" s="36">
        <f>SUM(U43:U47)</f>
        <v>0</v>
      </c>
      <c r="V42" s="36">
        <f>SUM(V43:V47)</f>
        <v>303.0000000000001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2856</v>
      </c>
      <c r="AA42" s="36">
        <f>SUM(B42:M42)</f>
        <v>2106</v>
      </c>
      <c r="AB42" s="36">
        <f>SUM(B42:Y42)</f>
        <v>4212</v>
      </c>
    </row>
    <row r="43" spans="1:30" hidden="true" outlineLevel="1">
      <c r="A43" s="181" t="str">
        <f>Calculations!$A$4</f>
        <v>Tomatoes</v>
      </c>
      <c r="B43" s="36">
        <f>N43</f>
        <v>750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750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750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750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2250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303.0000000000001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303.0000000000001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303.0000000000001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303.0000000000001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606.0000000000001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4500</v>
      </c>
      <c r="E48" s="36">
        <f>Q48</f>
        <v>0</v>
      </c>
      <c r="F48" s="36">
        <f>R48</f>
        <v>300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4500</v>
      </c>
      <c r="K48" s="36">
        <f>W48</f>
        <v>0</v>
      </c>
      <c r="L48" s="36">
        <f>X48</f>
        <v>300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4500</v>
      </c>
      <c r="Q48" s="46">
        <f>SUM(Q49:Q53)</f>
        <v>0</v>
      </c>
      <c r="R48" s="46">
        <f>SUM(R49:R53)</f>
        <v>300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4500</v>
      </c>
      <c r="W48" s="46">
        <f>SUM(W49:W53)</f>
        <v>0</v>
      </c>
      <c r="X48" s="46">
        <f>SUM(X49:X53)</f>
        <v>300</v>
      </c>
      <c r="Y48" s="46">
        <f>SUM(Y49:Y53)</f>
        <v>0</v>
      </c>
      <c r="Z48" s="46">
        <f>SUMIF($B$13:$Y$13,"Yes",B48:Y48)</f>
        <v>9600</v>
      </c>
      <c r="AA48" s="46">
        <f>SUM(B48:M48)</f>
        <v>9600</v>
      </c>
      <c r="AB48" s="46">
        <f>SUM(B48:Y48)</f>
        <v>19200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4500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4500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4500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4500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300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300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300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300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1092.059994084211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1092.059994084211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1092.059994084211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1092.059994084211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3276.179982252633</v>
      </c>
      <c r="AA54" s="46">
        <f>SUM(B54:M54)</f>
        <v>2184.119988168422</v>
      </c>
      <c r="AB54" s="46">
        <f>SUM(B54:Y54)</f>
        <v>4368.239976336844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1092.059994084211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1092.059994084211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1092.059994084211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1092.059994084211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3276.179982252633</v>
      </c>
      <c r="AA56" s="46">
        <f>SUM(B56:M56)</f>
        <v>2184.119988168422</v>
      </c>
      <c r="AB56" s="46">
        <f>SUM(B56:Y56)</f>
        <v>4368.239976336844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19120.02554175241</v>
      </c>
      <c r="C81" s="46">
        <f>(SUM($AA$18:$AA$29)-SUM($AA$36,$AA$42,$AA$48,$AA$54,$AA$60,$AA$66,$AA$72:$AA$79))*Parameters!$B$37/12</f>
        <v>19120.02554175241</v>
      </c>
      <c r="D81" s="46">
        <f>(SUM($AA$18:$AA$29)-SUM($AA$36,$AA$42,$AA$48,$AA$54,$AA$60,$AA$66,$AA$72:$AA$79))*Parameters!$B$37/12</f>
        <v>19120.02554175241</v>
      </c>
      <c r="E81" s="46">
        <f>(SUM($AA$18:$AA$29)-SUM($AA$36,$AA$42,$AA$48,$AA$54,$AA$60,$AA$66,$AA$72:$AA$79))*Parameters!$B$37/12</f>
        <v>19120.02554175241</v>
      </c>
      <c r="F81" s="46">
        <f>(SUM($AA$18:$AA$29)-SUM($AA$36,$AA$42,$AA$48,$AA$54,$AA$60,$AA$66,$AA$72:$AA$79))*Parameters!$B$37/12</f>
        <v>19120.02554175241</v>
      </c>
      <c r="G81" s="46">
        <f>(SUM($AA$18:$AA$29)-SUM($AA$36,$AA$42,$AA$48,$AA$54,$AA$60,$AA$66,$AA$72:$AA$79))*Parameters!$B$37/12</f>
        <v>19120.02554175241</v>
      </c>
      <c r="H81" s="46">
        <f>(SUM($AA$18:$AA$29)-SUM($AA$36,$AA$42,$AA$48,$AA$54,$AA$60,$AA$66,$AA$72:$AA$79))*Parameters!$B$37/12</f>
        <v>19120.02554175241</v>
      </c>
      <c r="I81" s="46">
        <f>(SUM($AA$18:$AA$29)-SUM($AA$36,$AA$42,$AA$48,$AA$54,$AA$60,$AA$66,$AA$72:$AA$79))*Parameters!$B$37/12</f>
        <v>19120.02554175241</v>
      </c>
      <c r="J81" s="46">
        <f>(SUM($AA$18:$AA$29)-SUM($AA$36,$AA$42,$AA$48,$AA$54,$AA$60,$AA$66,$AA$72:$AA$79))*Parameters!$B$37/12</f>
        <v>19120.02554175241</v>
      </c>
      <c r="K81" s="46">
        <f>(SUM($AA$18:$AA$29)-SUM($AA$36,$AA$42,$AA$48,$AA$54,$AA$60,$AA$66,$AA$72:$AA$79))*Parameters!$B$37/12</f>
        <v>19120.02554175241</v>
      </c>
      <c r="L81" s="46">
        <f>(SUM($AA$18:$AA$29)-SUM($AA$36,$AA$42,$AA$48,$AA$54,$AA$60,$AA$66,$AA$72:$AA$79))*Parameters!$B$37/12</f>
        <v>19120.02554175241</v>
      </c>
      <c r="M81" s="46">
        <f>(SUM($AA$18:$AA$29)-SUM($AA$36,$AA$42,$AA$48,$AA$54,$AA$60,$AA$66,$AA$72:$AA$79))*Parameters!$B$37/12</f>
        <v>19120.02554175241</v>
      </c>
      <c r="N81" s="46">
        <f>(SUM($AA$18:$AA$29)-SUM($AA$36,$AA$42,$AA$48,$AA$54,$AA$60,$AA$66,$AA$72:$AA$79))*Parameters!$B$37/12</f>
        <v>19120.02554175241</v>
      </c>
      <c r="O81" s="46">
        <f>(SUM($AA$18:$AA$29)-SUM($AA$36,$AA$42,$AA$48,$AA$54,$AA$60,$AA$66,$AA$72:$AA$79))*Parameters!$B$37/12</f>
        <v>19120.02554175241</v>
      </c>
      <c r="P81" s="46">
        <f>(SUM($AA$18:$AA$29)-SUM($AA$36,$AA$42,$AA$48,$AA$54,$AA$60,$AA$66,$AA$72:$AA$79))*Parameters!$B$37/12</f>
        <v>19120.02554175241</v>
      </c>
      <c r="Q81" s="46">
        <f>(SUM($AA$18:$AA$29)-SUM($AA$36,$AA$42,$AA$48,$AA$54,$AA$60,$AA$66,$AA$72:$AA$79))*Parameters!$B$37/12</f>
        <v>19120.02554175241</v>
      </c>
      <c r="R81" s="46">
        <f>(SUM($AA$18:$AA$29)-SUM($AA$36,$AA$42,$AA$48,$AA$54,$AA$60,$AA$66,$AA$72:$AA$79))*Parameters!$B$37/12</f>
        <v>19120.02554175241</v>
      </c>
      <c r="S81" s="46">
        <f>(SUM($AA$18:$AA$29)-SUM($AA$36,$AA$42,$AA$48,$AA$54,$AA$60,$AA$66,$AA$72:$AA$79))*Parameters!$B$37/12</f>
        <v>19120.02554175241</v>
      </c>
      <c r="T81" s="46">
        <f>(SUM($AA$18:$AA$29)-SUM($AA$36,$AA$42,$AA$48,$AA$54,$AA$60,$AA$66,$AA$72:$AA$79))*Parameters!$B$37/12</f>
        <v>19120.02554175241</v>
      </c>
      <c r="U81" s="46">
        <f>(SUM($AA$18:$AA$29)-SUM($AA$36,$AA$42,$AA$48,$AA$54,$AA$60,$AA$66,$AA$72:$AA$79))*Parameters!$B$37/12</f>
        <v>19120.02554175241</v>
      </c>
      <c r="V81" s="46">
        <f>(SUM($AA$18:$AA$29)-SUM($AA$36,$AA$42,$AA$48,$AA$54,$AA$60,$AA$66,$AA$72:$AA$79))*Parameters!$B$37/12</f>
        <v>19120.02554175241</v>
      </c>
      <c r="W81" s="46">
        <f>(SUM($AA$18:$AA$29)-SUM($AA$36,$AA$42,$AA$48,$AA$54,$AA$60,$AA$66,$AA$72:$AA$79))*Parameters!$B$37/12</f>
        <v>19120.02554175241</v>
      </c>
      <c r="X81" s="46">
        <f>(SUM($AA$18:$AA$29)-SUM($AA$36,$AA$42,$AA$48,$AA$54,$AA$60,$AA$66,$AA$72:$AA$79))*Parameters!$B$37/12</f>
        <v>19120.02554175241</v>
      </c>
      <c r="Y81" s="46">
        <f>(SUM($AA$18:$AA$29)-SUM($AA$36,$AA$42,$AA$48,$AA$54,$AA$60,$AA$66,$AA$72:$AA$79))*Parameters!$B$37/12</f>
        <v>19120.02554175241</v>
      </c>
      <c r="Z81" s="46">
        <f>SUMIF($B$13:$Y$13,"Yes",B81:Y81)</f>
        <v>248560.3320427813</v>
      </c>
      <c r="AA81" s="46">
        <f>SUM(B81:M81)</f>
        <v>229440.3065010289</v>
      </c>
      <c r="AB81" s="46">
        <f>SUM(B81:Y81)</f>
        <v>458880.6130020578</v>
      </c>
    </row>
    <row r="82" spans="1:30">
      <c r="A82" s="16" t="s">
        <v>52</v>
      </c>
      <c r="B82" s="46">
        <f>SUM(B83:B87)</f>
        <v>565.6693989071039</v>
      </c>
      <c r="C82" s="46">
        <f>SUM(C83:C87)</f>
        <v>565.6693989071039</v>
      </c>
      <c r="D82" s="46">
        <f>SUM(D83:D87)</f>
        <v>565.6693989071039</v>
      </c>
      <c r="E82" s="46">
        <f>SUM(E83:E87)</f>
        <v>565.6693989071039</v>
      </c>
      <c r="F82" s="46">
        <f>SUM(F83:F87)</f>
        <v>565.6693989071039</v>
      </c>
      <c r="G82" s="46">
        <f>SUM(G83:G87)</f>
        <v>565.6693989071039</v>
      </c>
      <c r="H82" s="46">
        <f>SUM(H83:H87)</f>
        <v>565.6693989071039</v>
      </c>
      <c r="I82" s="46">
        <f>SUM(I83:I87)</f>
        <v>565.6693989071039</v>
      </c>
      <c r="J82" s="46">
        <f>SUM(J83:J87)</f>
        <v>565.6693989071039</v>
      </c>
      <c r="K82" s="46">
        <f>SUM(K83:K87)</f>
        <v>565.6693989071039</v>
      </c>
      <c r="L82" s="46">
        <f>SUM(L83:L87)</f>
        <v>565.6693989071039</v>
      </c>
      <c r="M82" s="46">
        <f>SUM(M83:M87)</f>
        <v>565.6693989071039</v>
      </c>
      <c r="N82" s="46">
        <f>SUM(N83:N87)</f>
        <v>565.6693989071039</v>
      </c>
      <c r="O82" s="46">
        <f>SUM(O83:O87)</f>
        <v>565.6693989071039</v>
      </c>
      <c r="P82" s="46">
        <f>SUM(P83:P87)</f>
        <v>418.1284153005466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7353.702185792348</v>
      </c>
      <c r="AA82" s="46">
        <f>SUM(B82:M82)</f>
        <v>6788.032786885245</v>
      </c>
      <c r="AB82" s="46">
        <f>SUM(B82:Y82)</f>
        <v>8337.499999999998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565.6693989071039</v>
      </c>
      <c r="C83" s="46">
        <f>IF(Calculations!$E23&gt;COUNT(Output!$B$35:C$35),Calculations!$B23,IF(Calculations!$E23=COUNT(Output!$B$35:C$35),Inputs!$B56-Calculations!$C23*(Calculations!$E23-1)+Calculations!$D23,0))</f>
        <v>565.6693989071039</v>
      </c>
      <c r="D83" s="46">
        <f>IF(Calculations!$E23&gt;COUNT(Output!$B$35:D$35),Calculations!$B23,IF(Calculations!$E23=COUNT(Output!$B$35:D$35),Inputs!$B56-Calculations!$C23*(Calculations!$E23-1)+Calculations!$D23,0))</f>
        <v>565.6693989071039</v>
      </c>
      <c r="E83" s="46">
        <f>IF(Calculations!$E23&gt;COUNT(Output!$B$35:E$35),Calculations!$B23,IF(Calculations!$E23=COUNT(Output!$B$35:E$35),Inputs!$B56-Calculations!$C23*(Calculations!$E23-1)+Calculations!$D23,0))</f>
        <v>565.6693989071039</v>
      </c>
      <c r="F83" s="46">
        <f>IF(Calculations!$E23&gt;COUNT(Output!$B$35:F$35),Calculations!$B23,IF(Calculations!$E23=COUNT(Output!$B$35:F$35),Inputs!$B56-Calculations!$C23*(Calculations!$E23-1)+Calculations!$D23,0))</f>
        <v>565.6693989071039</v>
      </c>
      <c r="G83" s="46">
        <f>IF(Calculations!$E23&gt;COUNT(Output!$B$35:G$35),Calculations!$B23,IF(Calculations!$E23=COUNT(Output!$B$35:G$35),Inputs!$B56-Calculations!$C23*(Calculations!$E23-1)+Calculations!$D23,0))</f>
        <v>565.6693989071039</v>
      </c>
      <c r="H83" s="46">
        <f>IF(Calculations!$E23&gt;COUNT(Output!$B$35:H$35),Calculations!$B23,IF(Calculations!$E23=COUNT(Output!$B$35:H$35),Inputs!$B56-Calculations!$C23*(Calculations!$E23-1)+Calculations!$D23,0))</f>
        <v>565.6693989071039</v>
      </c>
      <c r="I83" s="46">
        <f>IF(Calculations!$E23&gt;COUNT(Output!$B$35:I$35),Calculations!$B23,IF(Calculations!$E23=COUNT(Output!$B$35:I$35),Inputs!$B56-Calculations!$C23*(Calculations!$E23-1)+Calculations!$D23,0))</f>
        <v>565.6693989071039</v>
      </c>
      <c r="J83" s="46">
        <f>IF(Calculations!$E23&gt;COUNT(Output!$B$35:J$35),Calculations!$B23,IF(Calculations!$E23=COUNT(Output!$B$35:J$35),Inputs!$B56-Calculations!$C23*(Calculations!$E23-1)+Calculations!$D23,0))</f>
        <v>565.6693989071039</v>
      </c>
      <c r="K83" s="46">
        <f>IF(Calculations!$E23&gt;COUNT(Output!$B$35:K$35),Calculations!$B23,IF(Calculations!$E23=COUNT(Output!$B$35:K$35),Inputs!$B56-Calculations!$C23*(Calculations!$E23-1)+Calculations!$D23,0))</f>
        <v>565.6693989071039</v>
      </c>
      <c r="L83" s="46">
        <f>IF(Calculations!$E23&gt;COUNT(Output!$B$35:L$35),Calculations!$B23,IF(Calculations!$E23=COUNT(Output!$B$35:L$35),Inputs!$B56-Calculations!$C23*(Calculations!$E23-1)+Calculations!$D23,0))</f>
        <v>565.6693989071039</v>
      </c>
      <c r="M83" s="46">
        <f>IF(Calculations!$E23&gt;COUNT(Output!$B$35:M$35),Calculations!$B23,IF(Calculations!$E23=COUNT(Output!$B$35:M$35),Inputs!$B56-Calculations!$C23*(Calculations!$E23-1)+Calculations!$D23,0))</f>
        <v>565.6693989071039</v>
      </c>
      <c r="N83" s="46">
        <f>IF(Calculations!$E23&gt;COUNT(Output!$B$35:N$35),Calculations!$B23,IF(Calculations!$E23=COUNT(Output!$B$35:N$35),Inputs!$B56-Calculations!$C23*(Calculations!$E23-1)+Calculations!$D23,0))</f>
        <v>565.6693989071039</v>
      </c>
      <c r="O83" s="46">
        <f>IF(Calculations!$E23&gt;COUNT(Output!$B$35:O$35),Calculations!$B23,IF(Calculations!$E23=COUNT(Output!$B$35:O$35),Inputs!$B56-Calculations!$C23*(Calculations!$E23-1)+Calculations!$D23,0))</f>
        <v>565.6693989071039</v>
      </c>
      <c r="P83" s="46">
        <f>IF(Calculations!$E23&gt;COUNT(Output!$B$35:P$35),Calculations!$B23,IF(Calculations!$E23=COUNT(Output!$B$35:P$35),Inputs!$B56-Calculations!$C23*(Calculations!$E23-1)+Calculations!$D23,0))</f>
        <v>418.1284153005466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7353.702185792348</v>
      </c>
      <c r="AA83" s="46">
        <f>SUM(B83:M83)</f>
        <v>6788.032786885245</v>
      </c>
      <c r="AB83" s="46">
        <f>SUM(B83:Y83)</f>
        <v>8337.499999999998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25527.75493474373</v>
      </c>
      <c r="C88" s="19">
        <f>SUM(C72:C82,C66,C60,C54,C48,C42,C36)</f>
        <v>27685.69494065952</v>
      </c>
      <c r="D88" s="19">
        <f>SUM(D72:D82,D66,D60,D54,D48,D42,D36)</f>
        <v>28488.69494065952</v>
      </c>
      <c r="E88" s="19">
        <f>SUM(E72:E82,E66,E60,E54,E48,E42,E36)</f>
        <v>21685.69494065952</v>
      </c>
      <c r="F88" s="19">
        <f>SUM(F72:F82,F66,F60,F54,F48,F42,F36)</f>
        <v>21985.69494065952</v>
      </c>
      <c r="G88" s="19">
        <f>SUM(G72:G82,G66,G60,G54,G48,G42,G36)</f>
        <v>21685.69494065952</v>
      </c>
      <c r="H88" s="19">
        <f>SUM(H72:H82,H66,H60,H54,H48,H42,H36)</f>
        <v>25527.75493474373</v>
      </c>
      <c r="I88" s="19">
        <f>SUM(I72:I82,I66,I60,I54,I48,I42,I36)</f>
        <v>21685.69494065952</v>
      </c>
      <c r="J88" s="19">
        <f>SUM(J72:J82,J66,J60,J54,J48,J42,J36)</f>
        <v>28488.69494065952</v>
      </c>
      <c r="K88" s="19">
        <f>SUM(K72:K82,K66,K60,K54,K48,K42,K36)</f>
        <v>21685.69494065952</v>
      </c>
      <c r="L88" s="19">
        <f>SUM(L72:L82,L66,L60,L54,L48,L42,L36)</f>
        <v>21985.69494065952</v>
      </c>
      <c r="M88" s="19">
        <f>SUM(M72:M82,M66,M60,M54,M48,M42,M36)</f>
        <v>21685.69494065952</v>
      </c>
      <c r="N88" s="19">
        <f>SUM(N72:N82,N66,N60,N54,N48,N42,N36)</f>
        <v>25527.75493474373</v>
      </c>
      <c r="O88" s="19">
        <f>SUM(O72:O82,O66,O60,O54,O48,O42,O36)</f>
        <v>27685.69494065952</v>
      </c>
      <c r="P88" s="19">
        <f>SUM(P72:P82,P66,P60,P54,P48,P42,P36)</f>
        <v>28341.15395705296</v>
      </c>
      <c r="Q88" s="19">
        <f>SUM(Q72:Q82,Q66,Q60,Q54,Q48,Q42,Q36)</f>
        <v>21120.02554175241</v>
      </c>
      <c r="R88" s="19">
        <f>SUM(R72:R82,R66,R60,R54,R48,R42,R36)</f>
        <v>21420.02554175241</v>
      </c>
      <c r="S88" s="19">
        <f>SUM(S72:S82,S66,S60,S54,S48,S42,S36)</f>
        <v>21120.02554175241</v>
      </c>
      <c r="T88" s="19">
        <f>SUM(T72:T82,T66,T60,T54,T48,T42,T36)</f>
        <v>24962.08553583662</v>
      </c>
      <c r="U88" s="19">
        <f>SUM(U72:U82,U66,U60,U54,U48,U42,U36)</f>
        <v>21120.02554175241</v>
      </c>
      <c r="V88" s="19">
        <f>SUM(V72:V82,V66,V60,V54,V48,V42,V36)</f>
        <v>27923.02554175241</v>
      </c>
      <c r="W88" s="19">
        <f>SUM(W72:W82,W66,W60,W54,W48,W42,W36)</f>
        <v>21120.02554175241</v>
      </c>
      <c r="X88" s="19">
        <f>SUM(X72:X82,X66,X60,X54,X48,X42,X36)</f>
        <v>21420.02554175241</v>
      </c>
      <c r="Y88" s="19">
        <f>SUM(Y72:Y82,Y66,Y60,Y54,Y48,Y42,Y36)</f>
        <v>21120.02554175241</v>
      </c>
      <c r="Z88" s="19">
        <f>SUMIF($B$13:$Y$13,"Yes",B88:Y88)</f>
        <v>313646.2142108263</v>
      </c>
      <c r="AA88" s="19">
        <f>SUM(B88:M88)</f>
        <v>288118.4592760826</v>
      </c>
      <c r="AB88" s="19">
        <f>SUM(B88:Y88)</f>
        <v>570998.3529783948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55000000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55405000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3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 t="s">
        <v>97</v>
      </c>
      <c r="B10" s="16" t="s">
        <v>99</v>
      </c>
      <c r="C10" s="143">
        <v>1</v>
      </c>
      <c r="D10" s="16">
        <v>400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100</v>
      </c>
      <c r="K10" s="138" t="s">
        <v>101</v>
      </c>
      <c r="L10" s="16">
        <v>5</v>
      </c>
      <c r="M10" s="165">
        <v>5</v>
      </c>
      <c r="N10" s="154">
        <v>0</v>
      </c>
    </row>
    <row r="11" spans="1:48">
      <c r="A11" s="144" t="s">
        <v>97</v>
      </c>
      <c r="B11" s="23"/>
      <c r="C11" s="144">
        <v>1</v>
      </c>
      <c r="D11" s="23"/>
      <c r="E11" s="150" t="s">
        <v>102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100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20000</v>
      </c>
    </row>
    <row r="31" spans="1:48">
      <c r="A31" s="5" t="s">
        <v>122</v>
      </c>
      <c r="B31" s="158">
        <v>2000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200000</v>
      </c>
    </row>
    <row r="46" spans="1:48" customHeight="1" ht="30">
      <c r="A46" s="57" t="s">
        <v>136</v>
      </c>
      <c r="B46" s="161">
        <v>50000</v>
      </c>
    </row>
    <row r="47" spans="1:48" customHeight="1" ht="30">
      <c r="A47" s="57" t="s">
        <v>137</v>
      </c>
      <c r="B47" s="161">
        <v>150000</v>
      </c>
    </row>
    <row r="48" spans="1:48" customHeight="1" ht="30">
      <c r="A48" s="57" t="s">
        <v>138</v>
      </c>
      <c r="B48" s="161">
        <v>0</v>
      </c>
    </row>
    <row r="49" spans="1:48" customHeight="1" ht="30">
      <c r="A49" s="57" t="s">
        <v>139</v>
      </c>
      <c r="B49" s="161">
        <v>5000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8500</v>
      </c>
      <c r="B56" s="159">
        <v>6000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>
        <v>10200</v>
      </c>
      <c r="B57" s="157">
        <v>0</v>
      </c>
      <c r="C57" s="164" t="s">
        <v>151</v>
      </c>
      <c r="D57" s="165" t="s">
        <v>152</v>
      </c>
      <c r="E57" s="165" t="s">
        <v>153</v>
      </c>
      <c r="F57" s="165"/>
    </row>
    <row r="58" spans="1:48">
      <c r="A58" s="157">
        <v>0</v>
      </c>
      <c r="B58" s="157">
        <v>0</v>
      </c>
      <c r="C58" s="164" t="s">
        <v>154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154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154</v>
      </c>
      <c r="D60" s="167"/>
      <c r="E60" s="167" t="s">
        <v>92</v>
      </c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156</v>
      </c>
      <c r="C65" s="10" t="s">
        <v>157</v>
      </c>
    </row>
    <row r="66" spans="1:48">
      <c r="A66" s="142" t="s">
        <v>158</v>
      </c>
      <c r="B66" s="159">
        <v>29950</v>
      </c>
      <c r="C66" s="163">
        <v>29426</v>
      </c>
      <c r="D66" s="49">
        <f>INDEX(Parameters!$D$79:$D$90,MATCH(Inputs!A66,Parameters!$C$79:$C$90,0))</f>
        <v>9</v>
      </c>
    </row>
    <row r="67" spans="1:48">
      <c r="A67" s="143" t="s">
        <v>159</v>
      </c>
      <c r="B67" s="157">
        <v>17600</v>
      </c>
      <c r="C67" s="165">
        <v>21098</v>
      </c>
      <c r="D67" s="49">
        <f>INDEX(Parameters!$D$79:$D$90,MATCH(Inputs!A67,Parameters!$C$79:$C$90,0))</f>
        <v>8</v>
      </c>
    </row>
    <row r="68" spans="1:48">
      <c r="A68" s="143" t="s">
        <v>160</v>
      </c>
      <c r="B68" s="157">
        <v>94562</v>
      </c>
      <c r="C68" s="165">
        <v>91050</v>
      </c>
      <c r="D68" s="49">
        <f>INDEX(Parameters!$D$79:$D$90,MATCH(Inputs!A68,Parameters!$C$79:$C$90,0))</f>
        <v>7</v>
      </c>
    </row>
    <row r="69" spans="1:48">
      <c r="A69" s="143" t="s">
        <v>161</v>
      </c>
      <c r="B69" s="157">
        <v>54053</v>
      </c>
      <c r="C69" s="165">
        <v>57537</v>
      </c>
      <c r="D69" s="49">
        <f>INDEX(Parameters!$D$79:$D$90,MATCH(Inputs!A69,Parameters!$C$79:$C$90,0))</f>
        <v>6</v>
      </c>
    </row>
    <row r="70" spans="1:48">
      <c r="A70" s="143" t="s">
        <v>162</v>
      </c>
      <c r="B70" s="157">
        <v>48475</v>
      </c>
      <c r="C70" s="165">
        <v>44981</v>
      </c>
      <c r="D70" s="49">
        <f>INDEX(Parameters!$D$79:$D$90,MATCH(Inputs!A70,Parameters!$C$79:$C$90,0))</f>
        <v>5</v>
      </c>
    </row>
    <row r="71" spans="1:48">
      <c r="A71" s="144" t="s">
        <v>163</v>
      </c>
      <c r="B71" s="158">
        <v>23237</v>
      </c>
      <c r="C71" s="167">
        <v>24208</v>
      </c>
      <c r="D71" s="49">
        <f>INDEX(Parameters!$D$79:$D$90,MATCH(Inputs!A71,Parameters!$C$79:$C$90,0))</f>
        <v>4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16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150000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43101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43282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949.6173861601835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37889.73370779132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1092.059994084211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43040</v>
      </c>
      <c r="C6" s="39">
        <f>IFERROR(DATE(YEAR(B6),MONTH(B6)+ROUND(T6/2,0),DAY(B6)),B6)</f>
        <v>43040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43040</v>
      </c>
      <c r="C7" s="39">
        <f>IFERROR(DATE(YEAR(B7),MONTH(B7)+ROUND(T7/2,0),DAY(B7)),B7)</f>
        <v>43040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400</v>
      </c>
      <c r="M7" s="30">
        <f>L7*H7</f>
        <v>400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5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1900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43040</v>
      </c>
      <c r="C8" s="40">
        <f>IFERROR(DATE(YEAR(B8),MONTH(B8)+ROUND(T8/2,0),DAY(B8)),B8)</f>
        <v>43040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1</v>
      </c>
      <c r="I8" s="119" t="str">
        <f>IFERROR(VLOOKUP(Inputs!E11,Parameters!$J$77:$K$81,2,0),"")</f>
        <v>No</v>
      </c>
      <c r="J8" s="28">
        <f>IFERROR(Inputs!G11/Calculations!H8,"")</f>
        <v>0</v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0.1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0.1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8500</v>
      </c>
      <c r="B23" s="75">
        <f>SUM(C23:D23)</f>
        <v>565.6693989071039</v>
      </c>
      <c r="C23" s="75">
        <f>IF(Inputs!B56&gt;0,(Inputs!A56-Inputs!B56)/(DATE(YEAR(Inputs!$B$76),MONTH(Inputs!$B$76),DAY(Inputs!$B$76))-DATE(YEAR(Inputs!C56),MONTH(Inputs!C56),DAY(Inputs!C56)))*30,0)</f>
        <v>409.8360655737705</v>
      </c>
      <c r="D23" s="75">
        <f>IF(Inputs!B56&gt;0,Inputs!A56*0.22/12,0)</f>
        <v>155.8333333333333</v>
      </c>
      <c r="E23" s="75">
        <f>IFERROR(ROUNDUP(Inputs!B56/C23,0),0)</f>
        <v>15</v>
      </c>
    </row>
    <row r="24" spans="1:52">
      <c r="A24" s="46">
        <f>Inputs!A57</f>
        <v>10200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43048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43040</v>
      </c>
      <c r="F33" t="s">
        <v>169</v>
      </c>
      <c r="G33" s="128">
        <f>IF(Inputs!B79="","",DATE(YEAR(Inputs!B79),MONTH(Inputs!B79),DAY(Inputs!B79)))</f>
        <v>43017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43078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43070</v>
      </c>
      <c r="F34" t="s">
        <v>170</v>
      </c>
      <c r="G34" s="128">
        <f>IF(Inputs!B80="","",DATE(YEAR(Inputs!B80),MONTH(Inputs!B80),DAY(Inputs!B80)))</f>
        <v>43048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43109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43101</v>
      </c>
      <c r="F35" t="s">
        <v>172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43140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43132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43168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43160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43191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43229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43221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43260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43252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43290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43282</v>
      </c>
      <c r="F41" t="s">
        <v>236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43321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43313</v>
      </c>
      <c r="F42" t="s">
        <v>237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43352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43382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210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305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304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304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304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304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104</v>
      </c>
      <c r="B41" s="191" t="s">
        <v>153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305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322</v>
      </c>
      <c r="H52" s="12" t="s">
        <v>323</v>
      </c>
      <c r="I52" s="12" t="s">
        <v>133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238</v>
      </c>
      <c r="E53" s="10" t="s">
        <v>197</v>
      </c>
      <c r="F53" s="10" t="s">
        <v>257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153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153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153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153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153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153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153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175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234</v>
      </c>
      <c r="J76" s="11" t="s">
        <v>356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153</v>
      </c>
      <c r="F77" s="12" t="s">
        <v>153</v>
      </c>
      <c r="G77" s="12" t="s">
        <v>358</v>
      </c>
      <c r="H77" s="12" t="s">
        <v>323</v>
      </c>
      <c r="I77" s="12" t="s">
        <v>359</v>
      </c>
      <c r="J77" s="136" t="s">
        <v>102</v>
      </c>
      <c r="K77" s="12" t="s">
        <v>153</v>
      </c>
      <c r="AJ77" s="12"/>
    </row>
    <row r="78" spans="1:36">
      <c r="A78" t="s">
        <v>153</v>
      </c>
      <c r="B78" s="176">
        <v>5</v>
      </c>
      <c r="C78" s="134" t="s">
        <v>360</v>
      </c>
      <c r="D78" s="133"/>
      <c r="E78" s="12" t="s">
        <v>91</v>
      </c>
      <c r="F78" s="12" t="s">
        <v>361</v>
      </c>
      <c r="G78" s="12" t="s">
        <v>362</v>
      </c>
      <c r="H78" s="12" t="s">
        <v>133</v>
      </c>
      <c r="I78" s="12" t="s">
        <v>363</v>
      </c>
      <c r="J78" s="70" t="s">
        <v>364</v>
      </c>
      <c r="K78" s="12" t="s">
        <v>153</v>
      </c>
      <c r="AJ78" s="12"/>
    </row>
    <row r="79" spans="1:36">
      <c r="B79" s="176">
        <v>10</v>
      </c>
      <c r="C79" s="12" t="s">
        <v>101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175</v>
      </c>
      <c r="J79" s="70" t="s">
        <v>368</v>
      </c>
      <c r="K79" s="12" t="s">
        <v>153</v>
      </c>
      <c r="AJ79" s="12"/>
    </row>
    <row r="80" spans="1:36">
      <c r="B80" s="176">
        <v>20</v>
      </c>
      <c r="C80" s="12" t="s">
        <v>369</v>
      </c>
      <c r="D80" s="12">
        <f>D79+1</f>
        <v>2</v>
      </c>
      <c r="E80" s="12" t="s">
        <v>370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371</v>
      </c>
      <c r="D81" s="12">
        <f>D80+1</f>
        <v>3</v>
      </c>
      <c r="J81" s="70" t="s">
        <v>372</v>
      </c>
      <c r="K81" s="12" t="s">
        <v>92</v>
      </c>
    </row>
    <row r="82" spans="1:36">
      <c r="B82" s="176">
        <v>40</v>
      </c>
      <c r="C82" s="12" t="s">
        <v>163</v>
      </c>
      <c r="D82" s="12">
        <f>D81+1</f>
        <v>4</v>
      </c>
      <c r="J82" s="70"/>
    </row>
    <row r="83" spans="1:36">
      <c r="B83" s="176">
        <v>50</v>
      </c>
      <c r="C83" s="12" t="s">
        <v>162</v>
      </c>
      <c r="D83" s="12">
        <f>D82+1</f>
        <v>5</v>
      </c>
    </row>
    <row r="84" spans="1:36">
      <c r="B84" s="176">
        <v>60</v>
      </c>
      <c r="C84" s="12" t="s">
        <v>161</v>
      </c>
      <c r="D84" s="12">
        <f>D83+1</f>
        <v>6</v>
      </c>
    </row>
    <row r="85" spans="1:36">
      <c r="B85" s="176">
        <v>70</v>
      </c>
      <c r="C85" s="12" t="s">
        <v>160</v>
      </c>
      <c r="D85" s="12">
        <f>D84+1</f>
        <v>7</v>
      </c>
    </row>
    <row r="86" spans="1:36">
      <c r="B86" s="176">
        <v>80</v>
      </c>
      <c r="C86" s="12" t="s">
        <v>159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98</v>
      </c>
      <c r="D89" s="12">
        <f>D88+1</f>
        <v>11</v>
      </c>
    </row>
    <row r="90" spans="1:36">
      <c r="C90" s="12" t="s">
        <v>96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