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<sst xmlns="http://schemas.openxmlformats.org/spreadsheetml/2006/main" uniqueCount="370">
  <si>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</si>
  <si>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</si>
  <si>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</si>
  <si>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</si>
  <si>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</si>
  <si>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</si>
  <si>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</si>
  <si>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</si>
  <si>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</si>
  <si>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</si>
  <si>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</si>
  <si>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</si>
  <si>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</si>
  <si>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</si>
  <si>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</si>
  <si>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</si>
  <si>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</si>
  <si>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</si>
  <si>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</si>
  <si>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</si>
  <si>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</si>
  <si>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</si>
  <si>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</si>
  <si>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</si>
  <si>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</si>
  <si>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</si>
  <si>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</si>
  <si>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</si>
  <si>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</si>
  <si>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</si>
  <si>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</si>
  <si>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</si>
  <si>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</si>
  <si>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</si>
  <si>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</si>
  <si>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</si>
  <si>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</si>
  <si>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</si>
  <si>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</si>
  <si>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</si>
  <si>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</si>
  <si>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</si>
  <si>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</si>
  <si>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</si>
  <si>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</si>
  <si>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</si>
  <si>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</si>
  <si>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</si>
  <si>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</si>
  <si>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</si>
  <si>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</si>
  <si>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</si>
  <si>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</si>
  <si>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</si>
  <si>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</si>
  <si>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</si>
  <si>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</si>
  <si>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</si>
  <si>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</si>
  <si>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</si>
  <si>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</si>
  <si>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</si>
  <si>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</si>
  <si>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</si>
  <si>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</si>
  <si>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</si>
  <si>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</si>
  <si>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</si>
  <si>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</si>
  <si>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</si>
  <si>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</si>
  <si>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</si>
  <si>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</si>
  <si>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</si>
  <si>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</si>
  <si>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</si>
  <si>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</si>
  <si>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</si>
  <si>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</si>
  <si>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</si>
  <si>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</si>
  <si>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</si>
  <si>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</si>
  <si>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</si>
  <si>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</si>
  <si>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</si>
  <si>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</si>
  <si>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</si>
  <si>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</si>
  <si>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</si>
  <si>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Shop_common variety</t>
  </si>
  <si>
    <t>Yes Inorganic fertizers</t>
  </si>
  <si>
    <t>Yes</t>
  </si>
  <si>
    <t>Yes using a diesel pump</t>
  </si>
  <si>
    <t>January</t>
  </si>
  <si>
    <t>Potatoes</t>
  </si>
  <si>
    <t>Yes both manure and inorganic</t>
  </si>
  <si>
    <t>February</t>
  </si>
  <si>
    <t>Other crops</t>
  </si>
  <si>
    <t>NGO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</si>
  <si>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</si>
  <si>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</si>
  <si>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</si>
  <si>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</si>
  <si>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</si>
  <si>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</si>
  <si>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</si>
  <si>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</si>
  <si>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</si>
  <si>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</si>
  <si>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</si>
  <si>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</si>
  <si>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</si>
  <si>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</si>
  <si>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</si>
  <si>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</si>
  <si>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</si>
  <si>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</si>
  <si>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</si>
  <si>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</si>
  <si>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</si>
  <si>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</si>
  <si>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vegetable supplies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</si>
  <si>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</si>
  <si>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</si>
  <si>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</si>
  <si>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</si>
  <si>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</si>
  <si>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</si>
  <si>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</si>
  <si>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</si>
  <si>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</si>
  <si>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</si>
  <si>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</si>
  <si>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</si>
  <si>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</si>
  <si>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</si>
  <si>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</si>
  <si>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</si>
  <si>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</si>
  <si>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</si>
  <si>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</si>
  <si>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</si>
  <si>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</si>
  <si>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</si>
  <si>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</si>
  <si>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</si>
  <si>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</si>
  <si>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</si>
  <si>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</si>
  <si>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</si>
  <si>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2/11/2011</t>
  </si>
  <si>
    <t>afc</t>
  </si>
  <si>
    <t>sacco loan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</si>
  <si>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</si>
  <si>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</si>
  <si>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</si>
  <si>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</si>
  <si>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</si>
  <si>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</si>
  <si>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</si>
  <si>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</si>
  <si>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March</t>
  </si>
  <si>
    <t>Loan info</t>
  </si>
  <si>
    <t>Branch ID</t>
  </si>
  <si>
    <t>Submission date</t>
  </si>
  <si>
    <t>2017/10/10</t>
  </si>
  <si>
    <t>Loan terms</t>
  </si>
  <si>
    <t>Expected disbursement date</t>
  </si>
  <si>
    <t>Expected first repayment date</t>
  </si>
  <si>
    <t>2017/11/15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</si>
  <si>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</si>
  <si>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</si>
  <si>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</si>
  <si>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</si>
  <si>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</si>
  <si>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</si>
  <si>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</si>
  <si>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</si>
  <si>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</si>
  <si>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</si>
  <si>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</si>
  <si>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</si>
  <si>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</si>
  <si>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</si>
  <si>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</si>
  <si>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</si>
  <si>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</si>
  <si>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</si>
  <si>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</si>
  <si>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</si>
  <si>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</si>
  <si>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</si>
  <si>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</si>
  <si>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</si>
  <si>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</si>
  <si>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</si>
  <si>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</si>
  <si>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</si>
  <si>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</si>
  <si>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</si>
  <si>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</si>
  <si>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</si>
  <si>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</si>
  <si>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</si>
  <si>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</si>
  <si>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</si>
  <si>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</si>
  <si>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</si>
  <si>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</si>
  <si>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</si>
  <si>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</si>
  <si>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</si>
  <si>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</si>
  <si>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</si>
  <si>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</si>
  <si>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</si>
  <si>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</si>
  <si>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</si>
  <si>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</si>
  <si>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</si>
  <si>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</si>
  <si>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</si>
  <si>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</si>
  <si>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</si>
  <si>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</si>
  <si>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</si>
  <si>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</si>
  <si>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</si>
  <si>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</si>
  <si>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</si>
  <si>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</si>
  <si>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</si>
  <si>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</si>
  <si>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</si>
  <si>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</si>
  <si>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</si>
  <si>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</si>
  <si>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</si>
  <si>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</si>
  <si>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</si>
  <si>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</si>
  <si>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</si>
  <si>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</si>
  <si>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</si>
  <si>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</si>
  <si>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</si>
  <si>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</si>
  <si>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</si>
  <si>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</si>
  <si>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</si>
  <si>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</si>
  <si>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</si>
  <si>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</si>
  <si>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</si>
  <si>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</si>
  <si>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</si>
  <si>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</si>
  <si>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</si>
  <si>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</si>
  <si>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</si>
  <si>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</si>
  <si>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</si>
  <si>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</si>
  <si>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</si>
  <si>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</si>
  <si>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</si>
  <si>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</si>
  <si>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</si>
  <si>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</si>
  <si>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</si>
  <si>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</si>
  <si>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</si>
  <si>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</si>
  <si>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</si>
  <si>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</si>
  <si>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</si>
  <si>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</si>
  <si>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</si>
  <si>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</si>
  <si>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</si>
  <si>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</si>
  <si>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</si>
  <si>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</si>
  <si>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</si>
  <si>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</si>
  <si>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</si>
  <si>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</si>
  <si>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</si>
  <si>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</si>
  <si>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</si>
  <si>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</si>
  <si>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</si>
  <si>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</si>
  <si>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</si>
  <si>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</si>
  <si>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</si>
  <si>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</si>
  <si>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</si>
  <si>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</si>
  <si>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</si>
  <si>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</si>
  <si>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</si>
  <si>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</si>
  <si>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</si>
  <si>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</si>
  <si>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</si>
  <si>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</si>
  <si>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</si>
  <si>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</si>
  <si>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</si>
  <si>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</si>
  <si>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</si>
  <si>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</si>
  <si>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</si>
  <si>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</si>
  <si>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</si>
  <si>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</si>
  <si>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</si>
  <si>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</si>
  <si>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</si>
  <si>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</si>
  <si>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</si>
  <si>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</si>
  <si>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</si>
  <si>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</si>
  <si>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</si>
  <si>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</si>
  <si>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</si>
  <si>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</si>
  <si>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</si>
  <si>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</si>
  <si>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</si>
  <si>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</si>
  <si>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</si>
  <si>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</si>
  <si>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</si>
  <si>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</si>
  <si>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</si>
  <si>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</si>
  <si>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</si>
  <si>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</si>
  <si>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</si>
  <si>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</si>
  <si>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</si>
  <si>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</si>
  <si>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</si>
  <si>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</si>
  <si>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</si>
  <si>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</si>
  <si>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</si>
  <si>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</si>
  <si>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</si>
  <si>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</si>
  <si>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</si>
  <si>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</si>
  <si>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</si>
  <si>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</si>
  <si>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</si>
  <si>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</si>
  <si>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</si>
  <si>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</si>
  <si>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</si>
  <si>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</si>
  <si>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</si>
  <si>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</si>
  <si>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Shop_certified variety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</si>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</sst>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Potatoes,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vegetable supplies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0.2010757909658304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2017</v>
      </c>
    </row>
    <row r="13" spans="1:7">
      <c r="B13" s="1" t="s">
        <v>8</v>
      </c>
      <c r="C13" s="67">
        <f>IFERROR(Output!B107/Output!B101,"")</f>
        <v>0.01530862682537735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25555.55555555555</v>
      </c>
    </row>
    <row r="17" spans="1:7">
      <c r="B17" s="1" t="s">
        <v>11</v>
      </c>
      <c r="C17" s="36">
        <f>SUM(Output!B6:M6)</f>
        <v>662830.7256319514</v>
      </c>
    </row>
    <row r="18" spans="1:7">
      <c r="B18" s="1" t="s">
        <v>12</v>
      </c>
      <c r="C18" s="36">
        <f>MIN(Output!B6:M6)</f>
        <v>-97633.75319900882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330749.0626021486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120000</v>
      </c>
    </row>
    <row r="25" spans="1:7">
      <c r="B25" s="1" t="s">
        <v>18</v>
      </c>
      <c r="C25" s="36">
        <f>MAX(Inputs!A56:A60)</f>
        <v>120000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330749.0626021486</v>
      </c>
      <c r="C6" s="51">
        <f>C30-C88</f>
        <v>-2033.753199008817</v>
      </c>
      <c r="D6" s="51">
        <f>D30-D88</f>
        <v>145617.3130098623</v>
      </c>
      <c r="E6" s="51">
        <f>E30-E88</f>
        <v>-14449.75319900882</v>
      </c>
      <c r="F6" s="51">
        <f>F30-F88</f>
        <v>-97633.75319900882</v>
      </c>
      <c r="G6" s="51">
        <f>G30-G88</f>
        <v>-30833.75319900882</v>
      </c>
      <c r="H6" s="51">
        <f>H30-H88</f>
        <v>330749.0626021486</v>
      </c>
      <c r="I6" s="51">
        <f>I30-I88</f>
        <v>-2033.753199008817</v>
      </c>
      <c r="J6" s="51">
        <f>J30-J88</f>
        <v>145617.3130098623</v>
      </c>
      <c r="K6" s="51">
        <f>K30-K88</f>
        <v>-14449.75319900882</v>
      </c>
      <c r="L6" s="51">
        <f>L30-L88</f>
        <v>-97633.75319900882</v>
      </c>
      <c r="M6" s="51">
        <f>M30-M88</f>
        <v>-30833.75319900882</v>
      </c>
      <c r="N6" s="51">
        <f>N30-N88</f>
        <v>330749.0626021486</v>
      </c>
      <c r="O6" s="51">
        <f>O30-O88</f>
        <v>-2033.753199008817</v>
      </c>
      <c r="P6" s="51">
        <f>P30-P88</f>
        <v>145617.3130098623</v>
      </c>
      <c r="Q6" s="51">
        <f>Q30-Q88</f>
        <v>-14449.75319900882</v>
      </c>
      <c r="R6" s="51">
        <f>R30-R88</f>
        <v>-97633.75319900882</v>
      </c>
      <c r="S6" s="51">
        <f>S30-S88</f>
        <v>-30833.75319900882</v>
      </c>
      <c r="T6" s="51">
        <f>T30-T88</f>
        <v>330749.0626021486</v>
      </c>
      <c r="U6" s="51">
        <f>U30-U88</f>
        <v>-2033.753199008817</v>
      </c>
      <c r="V6" s="51">
        <f>V30-V88</f>
        <v>145617.3130098623</v>
      </c>
      <c r="W6" s="51">
        <f>W30-W88</f>
        <v>-14449.75319900882</v>
      </c>
      <c r="X6" s="51">
        <f>X30-X88</f>
        <v>-97633.75319900882</v>
      </c>
      <c r="Y6" s="51">
        <f>Y30-Y88</f>
        <v>-30833.75319900882</v>
      </c>
      <c r="Z6" s="51">
        <f>SUMIF($B$13:$Y$13,"Yes",B6:Y6)</f>
        <v>993579.7882341</v>
      </c>
      <c r="AA6" s="51">
        <f>AA30-AA88</f>
        <v>662830.7256319514</v>
      </c>
      <c r="AB6" s="51">
        <f>AB30-AB88</f>
        <v>1325661.451263903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4100</v>
      </c>
      <c r="H7" s="80">
        <f>IF(ISERROR(VLOOKUP(MONTH(H5),Inputs!$D$66:$D$71,1,0)),"",INDEX(Inputs!$B$66:$B$71,MATCH(MONTH(Output!H5),Inputs!$D$66:$D$71,0))-INDEX(Inputs!$C$66:$C$71,MATCH(MONTH(Output!H5),Inputs!$D$66:$D$71,0)))</f>
        <v>4000</v>
      </c>
      <c r="I7" s="80">
        <f>IF(ISERROR(VLOOKUP(MONTH(I5),Inputs!$D$66:$D$71,1,0)),"",INDEX(Inputs!$B$66:$B$71,MATCH(MONTH(Output!I5),Inputs!$D$66:$D$71,0))-INDEX(Inputs!$C$66:$C$71,MATCH(MONTH(Output!I5),Inputs!$D$66:$D$71,0)))</f>
        <v>4000</v>
      </c>
      <c r="J7" s="80">
        <f>IF(ISERROR(VLOOKUP(MONTH(J5),Inputs!$D$66:$D$71,1,0)),"",INDEX(Inputs!$B$66:$B$71,MATCH(MONTH(Output!J5),Inputs!$D$66:$D$71,0))-INDEX(Inputs!$C$66:$C$71,MATCH(MONTH(Output!J5),Inputs!$D$66:$D$71,0)))</f>
        <v>2000</v>
      </c>
      <c r="K7" s="80">
        <f>IF(ISERROR(VLOOKUP(MONTH(K5),Inputs!$D$66:$D$71,1,0)),"",INDEX(Inputs!$B$66:$B$71,MATCH(MONTH(Output!K5),Inputs!$D$66:$D$71,0))-INDEX(Inputs!$C$66:$C$71,MATCH(MONTH(Output!K5),Inputs!$D$66:$D$71,0)))</f>
        <v>4300</v>
      </c>
      <c r="L7" s="80">
        <f>IF(ISERROR(VLOOKUP(MONTH(L5),Inputs!$D$66:$D$71,1,0)),"",INDEX(Inputs!$B$66:$B$71,MATCH(MONTH(Output!L5),Inputs!$D$66:$D$71,0))-INDEX(Inputs!$C$66:$C$71,MATCH(MONTH(Output!L5),Inputs!$D$66:$D$71,0)))</f>
        <v>2445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4100</v>
      </c>
      <c r="T7" s="80">
        <f>IF(ISERROR(VLOOKUP(MONTH(T5),Inputs!$D$66:$D$71,1,0)),"",INDEX(Inputs!$B$66:$B$71,MATCH(MONTH(Output!T5),Inputs!$D$66:$D$71,0))-INDEX(Inputs!$C$66:$C$71,MATCH(MONTH(Output!T5),Inputs!$D$66:$D$71,0)))</f>
        <v>4000</v>
      </c>
      <c r="U7" s="80">
        <f>IF(ISERROR(VLOOKUP(MONTH(U5),Inputs!$D$66:$D$71,1,0)),"",INDEX(Inputs!$B$66:$B$71,MATCH(MONTH(Output!U5),Inputs!$D$66:$D$71,0))-INDEX(Inputs!$C$66:$C$71,MATCH(MONTH(Output!U5),Inputs!$D$66:$D$71,0)))</f>
        <v>4000</v>
      </c>
      <c r="V7" s="80">
        <f>IF(ISERROR(VLOOKUP(MONTH(V5),Inputs!$D$66:$D$71,1,0)),"",INDEX(Inputs!$B$66:$B$71,MATCH(MONTH(Output!V5),Inputs!$D$66:$D$71,0))-INDEX(Inputs!$C$66:$C$71,MATCH(MONTH(Output!V5),Inputs!$D$66:$D$71,0)))</f>
        <v>2000</v>
      </c>
      <c r="W7" s="80">
        <f>IF(ISERROR(VLOOKUP(MONTH(W5),Inputs!$D$66:$D$71,1,0)),"",INDEX(Inputs!$B$66:$B$71,MATCH(MONTH(Output!W5),Inputs!$D$66:$D$71,0))-INDEX(Inputs!$C$66:$C$71,MATCH(MONTH(Output!W5),Inputs!$D$66:$D$71,0)))</f>
        <v>4300</v>
      </c>
      <c r="X7" s="80">
        <f>IF(ISERROR(VLOOKUP(MONTH(X5),Inputs!$D$66:$D$71,1,0)),"",INDEX(Inputs!$B$66:$B$71,MATCH(MONTH(Output!X5),Inputs!$D$66:$D$71,0))-INDEX(Inputs!$C$66:$C$71,MATCH(MONTH(Output!X5),Inputs!$D$66:$D$71,0)))</f>
        <v>2445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3333.333333333333</v>
      </c>
      <c r="D10" s="37">
        <f>SUMPRODUCT((Calculations!$D$33:$D$84=Output!D5)+0,Calculations!$C$33:$C$84)</f>
        <v>3333.333333333333</v>
      </c>
      <c r="E10" s="37">
        <f>SUMPRODUCT((Calculations!$D$33:$D$84=Output!E5)+0,Calculations!$C$33:$C$84)</f>
        <v>3333.333333333333</v>
      </c>
      <c r="F10" s="37">
        <f>SUMPRODUCT((Calculations!$D$33:$D$84=Output!F5)+0,Calculations!$C$33:$C$84)</f>
        <v>25555.55555555555</v>
      </c>
      <c r="G10" s="37">
        <f>SUMPRODUCT((Calculations!$D$33:$D$84=Output!G5)+0,Calculations!$C$33:$C$84)</f>
        <v>25555.55555555555</v>
      </c>
      <c r="H10" s="37">
        <f>SUMPRODUCT((Calculations!$D$33:$D$84=Output!H5)+0,Calculations!$C$33:$C$84)</f>
        <v>25555.55555555555</v>
      </c>
      <c r="I10" s="37">
        <f>SUMPRODUCT((Calculations!$D$33:$D$84=Output!I5)+0,Calculations!$C$33:$C$84)</f>
        <v>25555.55555555555</v>
      </c>
      <c r="J10" s="37">
        <f>SUMPRODUCT((Calculations!$D$33:$D$84=Output!J5)+0,Calculations!$C$33:$C$84)</f>
        <v>25555.55555555555</v>
      </c>
      <c r="K10" s="37">
        <f>SUMPRODUCT((Calculations!$D$33:$D$84=Output!K5)+0,Calculations!$C$33:$C$84)</f>
        <v>25555.55555555555</v>
      </c>
      <c r="L10" s="37">
        <f>SUMPRODUCT((Calculations!$D$33:$D$84=Output!L5)+0,Calculations!$C$33:$C$84)</f>
        <v>25555.55555555555</v>
      </c>
      <c r="M10" s="37">
        <f>SUMPRODUCT((Calculations!$D$33:$D$84=Output!M5)+0,Calculations!$C$33:$C$84)</f>
        <v>25555.55555555555</v>
      </c>
      <c r="N10" s="37">
        <f>SUMPRODUCT((Calculations!$D$33:$D$84=Output!N5)+0,Calculations!$C$33:$C$84)</f>
        <v>25555.55555555555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214444.4444444445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530749.0626021486</v>
      </c>
      <c r="C11" s="80">
        <f>C6+C9-C10</f>
        <v>-5367.086532342151</v>
      </c>
      <c r="D11" s="80">
        <f>D6+D9-D10</f>
        <v>142283.979676529</v>
      </c>
      <c r="E11" s="80">
        <f>E6+E9-E10</f>
        <v>-17783.08653234215</v>
      </c>
      <c r="F11" s="80">
        <f>F6+F9-F10</f>
        <v>-123189.3087545644</v>
      </c>
      <c r="G11" s="80">
        <f>G6+G9-G10</f>
        <v>-56389.30875456437</v>
      </c>
      <c r="H11" s="80">
        <f>H6+H9-H10</f>
        <v>305193.507046593</v>
      </c>
      <c r="I11" s="80">
        <f>I6+I9-I10</f>
        <v>-27589.30875456437</v>
      </c>
      <c r="J11" s="80">
        <f>J6+J9-J10</f>
        <v>120061.7574543068</v>
      </c>
      <c r="K11" s="80">
        <f>K6+K9-K10</f>
        <v>-40005.30875456437</v>
      </c>
      <c r="L11" s="80">
        <f>L6+L9-L10</f>
        <v>-123189.3087545644</v>
      </c>
      <c r="M11" s="80">
        <f>M6+M9-M10</f>
        <v>-56389.30875456437</v>
      </c>
      <c r="N11" s="80">
        <f>N6+N9-N10</f>
        <v>305193.507046593</v>
      </c>
      <c r="O11" s="80">
        <f>O6+O9-O10</f>
        <v>-2033.753199008817</v>
      </c>
      <c r="P11" s="80">
        <f>P6+P9-P10</f>
        <v>145617.3130098623</v>
      </c>
      <c r="Q11" s="80">
        <f>Q6+Q9-Q10</f>
        <v>-14449.75319900882</v>
      </c>
      <c r="R11" s="80">
        <f>R6+R9-R10</f>
        <v>-97633.75319900882</v>
      </c>
      <c r="S11" s="80">
        <f>S6+S9-S10</f>
        <v>-30833.75319900882</v>
      </c>
      <c r="T11" s="80">
        <f>T6+T9-T10</f>
        <v>330749.0626021486</v>
      </c>
      <c r="U11" s="80">
        <f>U6+U9-U10</f>
        <v>-2033.753199008817</v>
      </c>
      <c r="V11" s="80">
        <f>V6+V9-V10</f>
        <v>145617.3130098623</v>
      </c>
      <c r="W11" s="80">
        <f>W6+W9-W10</f>
        <v>-14449.75319900882</v>
      </c>
      <c r="X11" s="80">
        <f>X6+X9-X10</f>
        <v>-97633.75319900882</v>
      </c>
      <c r="Y11" s="80">
        <f>Y6+Y9-Y10</f>
        <v>-30833.75319900882</v>
      </c>
      <c r="Z11" s="85">
        <f>SUMIF($B$13:$Y$13,"Yes",B11:Y11)</f>
        <v>953579.7882340997</v>
      </c>
      <c r="AA11" s="80">
        <f>SUM(B11:M11)</f>
        <v>648386.2811875067</v>
      </c>
      <c r="AB11" s="46">
        <f>SUM(B11:Y11)</f>
        <v>1285661.451263903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0.00630459015286751</v>
      </c>
      <c r="D12" s="82">
        <f>IF(D13="Yes",IF(SUM($B$10:D10)/(SUM($B$6:D6)+SUM($B$9:D9))&lt;0,999.99,SUM($B$10:D10)/(SUM($B$6:D6)+SUM($B$9:D9))),"")</f>
        <v>0.00988631788687749</v>
      </c>
      <c r="E12" s="82">
        <f>IF(E13="Yes",IF(SUM($B$10:E10)/(SUM($B$6:E6)+SUM($B$9:E9))&lt;0,999.99,SUM($B$10:E10)/(SUM($B$6:E6)+SUM($B$9:E9))),"")</f>
        <v>0.01515420458165751</v>
      </c>
      <c r="F12" s="82">
        <f>IF(F13="Yes",IF(SUM($B$10:F10)/(SUM($B$6:F6)+SUM($B$9:F9))&lt;0,999.99,SUM($B$10:F10)/(SUM($B$6:F6)+SUM($B$9:F9))),"")</f>
        <v>0.06323808173778964</v>
      </c>
      <c r="G12" s="82">
        <f>IF(G13="Yes",IF(SUM($B$10:G10)/(SUM($B$6:G6)+SUM($B$9:G9))&lt;0,999.99,SUM($B$10:G10)/(SUM($B$6:G6)+SUM($B$9:G9))),"")</f>
        <v>0.114996884522274</v>
      </c>
      <c r="H12" s="82">
        <f>IF(H13="Yes",IF(SUM($B$10:H10)/(SUM($B$6:H6)+SUM($B$9:H9))&lt;0,999.99,SUM($B$10:H10)/(SUM($B$6:H6)+SUM($B$9:H9))),"")</f>
        <v>0.1005222021595659</v>
      </c>
      <c r="I12" s="82">
        <f>IF(I13="Yes",IF(SUM($B$10:I10)/(SUM($B$6:I6)+SUM($B$9:I9))&lt;0,999.99,SUM($B$10:I10)/(SUM($B$6:I6)+SUM($B$9:I9))),"")</f>
        <v>0.1304711317091992</v>
      </c>
      <c r="J12" s="82">
        <f>IF(J13="Yes",IF(SUM($B$10:J10)/(SUM($B$6:J6)+SUM($B$9:J9))&lt;0,999.99,SUM($B$10:J10)/(SUM($B$6:J6)+SUM($B$9:J9))),"")</f>
        <v>0.1369903592164891</v>
      </c>
      <c r="K12" s="82">
        <f>IF(K13="Yes",IF(SUM($B$10:K10)/(SUM($B$6:K6)+SUM($B$9:K9))&lt;0,999.99,SUM($B$10:K10)/(SUM($B$6:K6)+SUM($B$9:K9))),"")</f>
        <v>0.1647670983926414</v>
      </c>
      <c r="L12" s="82">
        <f>IF(L13="Yes",IF(SUM($B$10:L10)/(SUM($B$6:L6)+SUM($B$9:L9))&lt;0,999.99,SUM($B$10:L10)/(SUM($B$6:L6)+SUM($B$9:L9))),"")</f>
        <v>0.2113644363889033</v>
      </c>
      <c r="M12" s="82">
        <f>IF(M13="Yes",IF(SUM($B$10:M10)/(SUM($B$6:M6)+SUM($B$9:M9))&lt;0,999.99,SUM($B$10:M10)/(SUM($B$6:M6)+SUM($B$9:M9))),"")</f>
        <v>0.2485359388278412</v>
      </c>
      <c r="N12" s="82">
        <f>IF(N13="Yes",IF(SUM($B$10:N10)/(SUM($B$6:N6)+SUM($B$9:N9))&lt;0,999.99,SUM($B$10:N10)/(SUM($B$6:N6)+SUM($B$9:N9))),"")</f>
        <v>0.2010757909658304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363282.8158011574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363282.8158011574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363282.8158011574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363282.8158011574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1089848.447403472</v>
      </c>
      <c r="AA18" s="36">
        <f>SUM(B18:M18)</f>
        <v>726565.6316023148</v>
      </c>
      <c r="AB18" s="36">
        <f>SUM(B18:Y18)</f>
        <v>1453131.26320463</v>
      </c>
      <c r="AC18" s="43"/>
      <c r="AD18" s="43"/>
    </row>
    <row r="19" spans="1:30">
      <c r="A19" t="str">
        <f>IF(Calculations!A5&lt;&gt;Parameters!$A$18,IF(Calculations!A5=0,"",Calculations!A5),Inputs!B8)</f>
        <v>Potatoes</v>
      </c>
      <c r="B19" s="36">
        <f>N19</f>
        <v>0</v>
      </c>
      <c r="C19" s="36">
        <f>O19</f>
        <v>0</v>
      </c>
      <c r="D19" s="36">
        <f>P19</f>
        <v>147651.0662088711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147651.0662088711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147651.0662088711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147651.0662088711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295302.1324177423</v>
      </c>
      <c r="AA19" s="36">
        <f>SUM(B19:M19)</f>
        <v>295302.1324177423</v>
      </c>
      <c r="AB19" s="36">
        <f>SUM(B19:Y19)</f>
        <v>590604.2648354846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4200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6899.999999999999</v>
      </c>
      <c r="C24" s="36">
        <f>IFERROR(Calculations!$P14/12,"")</f>
        <v>6899.999999999999</v>
      </c>
      <c r="D24" s="36">
        <f>IFERROR(Calculations!$P14/12,"")</f>
        <v>6899.999999999999</v>
      </c>
      <c r="E24" s="36">
        <f>IFERROR(Calculations!$P14/12,"")</f>
        <v>6899.999999999999</v>
      </c>
      <c r="F24" s="36">
        <f>IFERROR(Calculations!$P14/12,"")</f>
        <v>6899.999999999999</v>
      </c>
      <c r="G24" s="36">
        <f>IFERROR(Calculations!$P14/12,"")</f>
        <v>6899.999999999999</v>
      </c>
      <c r="H24" s="36">
        <f>IFERROR(Calculations!$P14/12,"")</f>
        <v>6899.999999999999</v>
      </c>
      <c r="I24" s="36">
        <f>IFERROR(Calculations!$P14/12,"")</f>
        <v>6899.999999999999</v>
      </c>
      <c r="J24" s="36">
        <f>IFERROR(Calculations!$P14/12,"")</f>
        <v>6899.999999999999</v>
      </c>
      <c r="K24" s="36">
        <f>IFERROR(Calculations!$P14/12,"")</f>
        <v>6899.999999999999</v>
      </c>
      <c r="L24" s="36">
        <f>IFERROR(Calculations!$P14/12,"")</f>
        <v>6899.999999999999</v>
      </c>
      <c r="M24" s="36">
        <f>IFERROR(Calculations!$P14/12,"")</f>
        <v>6899.999999999999</v>
      </c>
      <c r="N24" s="36">
        <f>IFERROR(Calculations!$P14/12,"")</f>
        <v>6899.999999999999</v>
      </c>
      <c r="O24" s="36">
        <f>IFERROR(Calculations!$P14/12,"")</f>
        <v>6899.999999999999</v>
      </c>
      <c r="P24" s="36">
        <f>IFERROR(Calculations!$P14/12,"")</f>
        <v>6899.999999999999</v>
      </c>
      <c r="Q24" s="36">
        <f>IFERROR(Calculations!$P14/12,"")</f>
        <v>6899.999999999999</v>
      </c>
      <c r="R24" s="36">
        <f>IFERROR(Calculations!$P14/12,"")</f>
        <v>6899.999999999999</v>
      </c>
      <c r="S24" s="36">
        <f>IFERROR(Calculations!$P14/12,"")</f>
        <v>6899.999999999999</v>
      </c>
      <c r="T24" s="36">
        <f>IFERROR(Calculations!$P14/12,"")</f>
        <v>6899.999999999999</v>
      </c>
      <c r="U24" s="36">
        <f>IFERROR(Calculations!$P14/12,"")</f>
        <v>6899.999999999999</v>
      </c>
      <c r="V24" s="36">
        <f>IFERROR(Calculations!$P14/12,"")</f>
        <v>6899.999999999999</v>
      </c>
      <c r="W24" s="36">
        <f>IFERROR(Calculations!$P14/12,"")</f>
        <v>6899.999999999999</v>
      </c>
      <c r="X24" s="36">
        <f>IFERROR(Calculations!$P14/12,"")</f>
        <v>6899.999999999999</v>
      </c>
      <c r="Y24" s="36">
        <f>IFERROR(Calculations!$P14/12,"")</f>
        <v>6899.999999999999</v>
      </c>
      <c r="Z24" s="36">
        <f>SUMIF($B$13:$Y$13,"Yes",B24:Y24)</f>
        <v>89699.99999999999</v>
      </c>
      <c r="AA24" s="36">
        <f>SUM(B24:M24)</f>
        <v>82799.99999999999</v>
      </c>
      <c r="AB24" s="46">
        <f>SUM(B24:Y24)</f>
        <v>165600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585000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415182.8158011574</v>
      </c>
      <c r="C30" s="19">
        <f>SUM(C18:C29)</f>
        <v>51900</v>
      </c>
      <c r="D30" s="19">
        <f>SUM(D18:D29)</f>
        <v>199551.0662088711</v>
      </c>
      <c r="E30" s="19">
        <f>SUM(E18:E29)</f>
        <v>51900</v>
      </c>
      <c r="F30" s="19">
        <f>SUM(F18:F29)</f>
        <v>51900</v>
      </c>
      <c r="G30" s="19">
        <f>SUM(G18:G29)</f>
        <v>51900</v>
      </c>
      <c r="H30" s="19">
        <f>SUM(H18:H29)</f>
        <v>415182.8158011574</v>
      </c>
      <c r="I30" s="19">
        <f>SUM(I18:I29)</f>
        <v>51900</v>
      </c>
      <c r="J30" s="19">
        <f>SUM(J18:J29)</f>
        <v>199551.0662088711</v>
      </c>
      <c r="K30" s="19">
        <f>SUM(K18:K29)</f>
        <v>51900</v>
      </c>
      <c r="L30" s="19">
        <f>SUM(L18:L29)</f>
        <v>51900</v>
      </c>
      <c r="M30" s="19">
        <f>SUM(M18:M29)</f>
        <v>51900</v>
      </c>
      <c r="N30" s="19">
        <f>SUM(N18:N29)</f>
        <v>415182.8158011574</v>
      </c>
      <c r="O30" s="19">
        <f>SUM(O18:O29)</f>
        <v>51900</v>
      </c>
      <c r="P30" s="19">
        <f>SUM(P18:P29)</f>
        <v>199551.0662088711</v>
      </c>
      <c r="Q30" s="19">
        <f>SUM(Q18:Q29)</f>
        <v>51900</v>
      </c>
      <c r="R30" s="19">
        <f>SUM(R18:R29)</f>
        <v>51900</v>
      </c>
      <c r="S30" s="19">
        <f>SUM(S18:S29)</f>
        <v>51900</v>
      </c>
      <c r="T30" s="19">
        <f>SUM(T18:T29)</f>
        <v>415182.8158011574</v>
      </c>
      <c r="U30" s="19">
        <f>SUM(U18:U29)</f>
        <v>51900</v>
      </c>
      <c r="V30" s="19">
        <f>SUM(V18:V29)</f>
        <v>199551.0662088711</v>
      </c>
      <c r="W30" s="19">
        <f>SUM(W18:W29)</f>
        <v>51900</v>
      </c>
      <c r="X30" s="19">
        <f>SUM(X18:X29)</f>
        <v>51900</v>
      </c>
      <c r="Y30" s="19">
        <f>SUM(Y18:Y29)</f>
        <v>51900</v>
      </c>
      <c r="Z30" s="19">
        <f>SUMIF($B$13:$Y$13,"Yes",B30:Y30)</f>
        <v>2059850.579821214</v>
      </c>
      <c r="AA30" s="19">
        <f>SUM(B30:M30)</f>
        <v>1644667.764020057</v>
      </c>
      <c r="AB30" s="19">
        <f>SUM(B30:Y30)</f>
        <v>3289335.528040114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6000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6000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6000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6000</v>
      </c>
      <c r="Y36" s="36">
        <f>SUM(Y37:Y41)</f>
        <v>0</v>
      </c>
      <c r="Z36" s="36">
        <f>SUMIF($B$13:$Y$13,"Yes",B36:Y36)</f>
        <v>12000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Potatoes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6000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6000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6000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6000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12000</v>
      </c>
      <c r="AA38" s="36">
        <f>SUM(B38:M38)</f>
        <v>12000</v>
      </c>
      <c r="AB38" s="36">
        <f>SUM(B38:Y38)</f>
        <v>24000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2424</v>
      </c>
      <c r="F42" s="36">
        <f>R42</f>
        <v>72000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2424</v>
      </c>
      <c r="L42" s="36">
        <f>X42</f>
        <v>72000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2424</v>
      </c>
      <c r="R42" s="36">
        <f>SUM(R43:R47)</f>
        <v>72000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2424</v>
      </c>
      <c r="X42" s="36">
        <f>SUM(X43:X47)</f>
        <v>72000</v>
      </c>
      <c r="Y42" s="36">
        <f>SUM(Y43:Y47)</f>
        <v>0</v>
      </c>
      <c r="Z42" s="36">
        <f>SUMIF($B$13:$Y$13,"Yes",B42:Y42)</f>
        <v>148848</v>
      </c>
      <c r="AA42" s="36">
        <f>SUM(B42:M42)</f>
        <v>148848</v>
      </c>
      <c r="AB42" s="36">
        <f>SUM(B42:Y42)</f>
        <v>297696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2424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2424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2424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2424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4848</v>
      </c>
      <c r="AA43" s="36">
        <f>SUM(B43:M43)</f>
        <v>4848</v>
      </c>
      <c r="AB43" s="36">
        <f>SUM(B43:Y43)</f>
        <v>9696</v>
      </c>
    </row>
    <row r="44" spans="1:30" hidden="true" outlineLevel="1">
      <c r="A44" s="181" t="str">
        <f>Calculations!$A$5</f>
        <v>Potatoes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72000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72000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72000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72000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144000</v>
      </c>
      <c r="AA44" s="36">
        <f>SUM(B44:M44)</f>
        <v>144000</v>
      </c>
      <c r="AB44" s="36">
        <f>SUM(B44:Y44)</f>
        <v>288000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12900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11200</v>
      </c>
      <c r="H48" s="36">
        <f>T48</f>
        <v>12900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11200</v>
      </c>
      <c r="N48" s="46">
        <f>SUM(N49:N53)</f>
        <v>12900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11200</v>
      </c>
      <c r="T48" s="46">
        <f>SUM(T49:T53)</f>
        <v>12900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11200</v>
      </c>
      <c r="Z48" s="46">
        <f>SUMIF($B$13:$Y$13,"Yes",B48:Y48)</f>
        <v>61100</v>
      </c>
      <c r="AA48" s="46">
        <f>SUM(B48:M48)</f>
        <v>48200</v>
      </c>
      <c r="AB48" s="46">
        <f>SUM(B48:Y48)</f>
        <v>96400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11200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11200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11200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11200</v>
      </c>
      <c r="Z49" s="46">
        <f>SUMIF($B$13:$Y$13,"Yes",B49:Y49)</f>
        <v>22400</v>
      </c>
      <c r="AA49" s="46">
        <f>SUM(B49:M49)</f>
        <v>22400</v>
      </c>
      <c r="AB49" s="46">
        <f>SUM(B49:Y49)</f>
        <v>44800</v>
      </c>
    </row>
    <row r="50" spans="1:30" hidden="true" outlineLevel="1">
      <c r="A50" s="181" t="str">
        <f>Calculations!$A$5</f>
        <v>Potatoes</v>
      </c>
      <c r="B50" s="36">
        <f>N50</f>
        <v>12900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12900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12900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12900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38700</v>
      </c>
      <c r="AA50" s="46">
        <f>SUM(B50:M50)</f>
        <v>25800</v>
      </c>
      <c r="AB50" s="46">
        <f>SUM(B50:Y50)</f>
        <v>51600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Potatoes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11000</v>
      </c>
      <c r="C60" s="36">
        <f>O60</f>
        <v>3000</v>
      </c>
      <c r="D60" s="36">
        <f>P60</f>
        <v>3000</v>
      </c>
      <c r="E60" s="36">
        <f>Q60</f>
        <v>8000</v>
      </c>
      <c r="F60" s="36">
        <f>R60</f>
        <v>11000</v>
      </c>
      <c r="G60" s="36">
        <f>S60</f>
        <v>11000</v>
      </c>
      <c r="H60" s="36">
        <f>T60</f>
        <v>11000</v>
      </c>
      <c r="I60" s="36">
        <f>U60</f>
        <v>3000</v>
      </c>
      <c r="J60" s="36">
        <f>V60</f>
        <v>3000</v>
      </c>
      <c r="K60" s="36">
        <f>W60</f>
        <v>8000</v>
      </c>
      <c r="L60" s="36">
        <f>X60</f>
        <v>11000</v>
      </c>
      <c r="M60" s="36">
        <f>Y60</f>
        <v>11000</v>
      </c>
      <c r="N60" s="46">
        <f>SUM(N61:N65)</f>
        <v>11000</v>
      </c>
      <c r="O60" s="46">
        <f>SUM(O61:O65)</f>
        <v>3000</v>
      </c>
      <c r="P60" s="46">
        <f>SUM(P61:P65)</f>
        <v>3000</v>
      </c>
      <c r="Q60" s="46">
        <f>SUM(Q61:Q65)</f>
        <v>8000</v>
      </c>
      <c r="R60" s="46">
        <f>SUM(R61:R65)</f>
        <v>11000</v>
      </c>
      <c r="S60" s="46">
        <f>SUM(S61:S65)</f>
        <v>11000</v>
      </c>
      <c r="T60" s="46">
        <f>SUM(T61:T65)</f>
        <v>11000</v>
      </c>
      <c r="U60" s="46">
        <f>SUM(U61:U65)</f>
        <v>3000</v>
      </c>
      <c r="V60" s="46">
        <f>SUM(V61:V65)</f>
        <v>3000</v>
      </c>
      <c r="W60" s="46">
        <f>SUM(W61:W65)</f>
        <v>8000</v>
      </c>
      <c r="X60" s="46">
        <f>SUM(X61:X65)</f>
        <v>11000</v>
      </c>
      <c r="Y60" s="46">
        <f>SUM(Y61:Y65)</f>
        <v>11000</v>
      </c>
      <c r="Z60" s="46">
        <f>SUMIF($B$13:$Y$13,"Yes",B60:Y60)</f>
        <v>105000</v>
      </c>
      <c r="AA60" s="46">
        <f>SUM(B60:M60)</f>
        <v>94000</v>
      </c>
      <c r="AB60" s="46">
        <f>SUM(B60:Y60)</f>
        <v>188000</v>
      </c>
    </row>
    <row r="61" spans="1:30" hidden="true" outlineLevel="1">
      <c r="A61" s="181" t="str">
        <f>Calculations!$A$4</f>
        <v>Cabbages</v>
      </c>
      <c r="B61" s="36">
        <f>N61</f>
        <v>8000</v>
      </c>
      <c r="C61" s="36">
        <f>O61</f>
        <v>0</v>
      </c>
      <c r="D61" s="36">
        <f>P61</f>
        <v>0</v>
      </c>
      <c r="E61" s="36">
        <f>Q61</f>
        <v>8000</v>
      </c>
      <c r="F61" s="36">
        <f>R61</f>
        <v>8000</v>
      </c>
      <c r="G61" s="36">
        <f>S61</f>
        <v>8000</v>
      </c>
      <c r="H61" s="36">
        <f>T61</f>
        <v>8000</v>
      </c>
      <c r="I61" s="36">
        <f>U61</f>
        <v>0</v>
      </c>
      <c r="J61" s="36">
        <f>V61</f>
        <v>0</v>
      </c>
      <c r="K61" s="36">
        <f>W61</f>
        <v>8000</v>
      </c>
      <c r="L61" s="36">
        <f>X61</f>
        <v>8000</v>
      </c>
      <c r="M61" s="36">
        <f>Y61</f>
        <v>8000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8000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8000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8000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8000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8000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8000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8000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8000</v>
      </c>
      <c r="Z61" s="46">
        <f>SUMIF($B$13:$Y$13,"Yes",B61:Y61)</f>
        <v>72000</v>
      </c>
      <c r="AA61" s="46">
        <f>SUM(B61:M61)</f>
        <v>64000</v>
      </c>
      <c r="AB61" s="46">
        <f>SUM(B61:Y61)</f>
        <v>128000</v>
      </c>
    </row>
    <row r="62" spans="1:30" hidden="true" outlineLevel="1">
      <c r="A62" s="181" t="str">
        <f>Calculations!$A$5</f>
        <v>Potatoes</v>
      </c>
      <c r="B62" s="36">
        <f>N62</f>
        <v>3000</v>
      </c>
      <c r="C62" s="36">
        <f>O62</f>
        <v>3000</v>
      </c>
      <c r="D62" s="36">
        <f>P62</f>
        <v>3000</v>
      </c>
      <c r="E62" s="36">
        <f>Q62</f>
        <v>0</v>
      </c>
      <c r="F62" s="36">
        <f>R62</f>
        <v>3000</v>
      </c>
      <c r="G62" s="36">
        <f>S62</f>
        <v>3000</v>
      </c>
      <c r="H62" s="36">
        <f>T62</f>
        <v>3000</v>
      </c>
      <c r="I62" s="36">
        <f>U62</f>
        <v>3000</v>
      </c>
      <c r="J62" s="36">
        <f>V62</f>
        <v>3000</v>
      </c>
      <c r="K62" s="36">
        <f>W62</f>
        <v>0</v>
      </c>
      <c r="L62" s="36">
        <f>X62</f>
        <v>3000</v>
      </c>
      <c r="M62" s="36">
        <f>Y62</f>
        <v>3000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3000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3000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3000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3000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3000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3000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3000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3000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3000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3000</v>
      </c>
      <c r="Z62" s="46">
        <f>SUMIF($B$13:$Y$13,"Yes",B62:Y62)</f>
        <v>33000</v>
      </c>
      <c r="AA62" s="46">
        <f>SUM(B62:M62)</f>
        <v>30000</v>
      </c>
      <c r="AB62" s="46">
        <f>SUM(B62:Y62)</f>
        <v>60000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14208</v>
      </c>
      <c r="C66" s="36">
        <f>O66</f>
        <v>4608</v>
      </c>
      <c r="D66" s="36">
        <f>P66</f>
        <v>4608</v>
      </c>
      <c r="E66" s="36">
        <f>Q66</f>
        <v>9600</v>
      </c>
      <c r="F66" s="36">
        <f>R66</f>
        <v>14208</v>
      </c>
      <c r="G66" s="36">
        <f>S66</f>
        <v>14208</v>
      </c>
      <c r="H66" s="36">
        <f>T66</f>
        <v>14208</v>
      </c>
      <c r="I66" s="36">
        <f>U66</f>
        <v>4608</v>
      </c>
      <c r="J66" s="36">
        <f>V66</f>
        <v>4608</v>
      </c>
      <c r="K66" s="36">
        <f>W66</f>
        <v>9600</v>
      </c>
      <c r="L66" s="36">
        <f>X66</f>
        <v>14208</v>
      </c>
      <c r="M66" s="36">
        <f>Y66</f>
        <v>14208</v>
      </c>
      <c r="N66" s="46">
        <f>SUM(N67:N71)</f>
        <v>14208</v>
      </c>
      <c r="O66" s="46">
        <f>SUM(O67:O71)</f>
        <v>4608</v>
      </c>
      <c r="P66" s="46">
        <f>SUM(P67:P71)</f>
        <v>4608</v>
      </c>
      <c r="Q66" s="46">
        <f>SUM(Q67:Q71)</f>
        <v>9600</v>
      </c>
      <c r="R66" s="46">
        <f>SUM(R67:R71)</f>
        <v>14208</v>
      </c>
      <c r="S66" s="46">
        <f>SUM(S67:S71)</f>
        <v>14208</v>
      </c>
      <c r="T66" s="46">
        <f>SUM(T67:T71)</f>
        <v>14208</v>
      </c>
      <c r="U66" s="46">
        <f>SUM(U67:U71)</f>
        <v>4608</v>
      </c>
      <c r="V66" s="46">
        <f>SUM(V67:V71)</f>
        <v>4608</v>
      </c>
      <c r="W66" s="46">
        <f>SUM(W67:W71)</f>
        <v>9600</v>
      </c>
      <c r="X66" s="46">
        <f>SUM(X67:X71)</f>
        <v>14208</v>
      </c>
      <c r="Y66" s="46">
        <f>SUM(Y67:Y71)</f>
        <v>14208</v>
      </c>
      <c r="Z66" s="46">
        <f>SUMIF($B$13:$Y$13,"Yes",B66:Y66)</f>
        <v>137088</v>
      </c>
      <c r="AA66" s="46">
        <f>SUM(B66:M66)</f>
        <v>122880</v>
      </c>
      <c r="AB66" s="46">
        <f>SUM(B66:Y66)</f>
        <v>245760</v>
      </c>
    </row>
    <row r="67" spans="1:30" hidden="true" outlineLevel="1">
      <c r="A67" s="181" t="str">
        <f>Calculations!$A$4</f>
        <v>Cabbages</v>
      </c>
      <c r="B67" s="36">
        <f>N67</f>
        <v>9600</v>
      </c>
      <c r="C67" s="36">
        <f>O67</f>
        <v>0</v>
      </c>
      <c r="D67" s="36">
        <f>P67</f>
        <v>0</v>
      </c>
      <c r="E67" s="36">
        <f>Q67</f>
        <v>9600</v>
      </c>
      <c r="F67" s="36">
        <f>R67</f>
        <v>9600</v>
      </c>
      <c r="G67" s="36">
        <f>S67</f>
        <v>9600</v>
      </c>
      <c r="H67" s="36">
        <f>T67</f>
        <v>9600</v>
      </c>
      <c r="I67" s="36">
        <f>U67</f>
        <v>0</v>
      </c>
      <c r="J67" s="36">
        <f>V67</f>
        <v>0</v>
      </c>
      <c r="K67" s="36">
        <f>W67</f>
        <v>9600</v>
      </c>
      <c r="L67" s="36">
        <f>X67</f>
        <v>9600</v>
      </c>
      <c r="M67" s="36">
        <f>Y67</f>
        <v>9600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9600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9600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9600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9600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9600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9600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9600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9600</v>
      </c>
      <c r="Z67" s="46">
        <f>SUMIF($B$13:$Y$13,"Yes",B67:Y67)</f>
        <v>86400</v>
      </c>
      <c r="AA67" s="46">
        <f>SUM(B67:M67)</f>
        <v>76800</v>
      </c>
      <c r="AB67" s="46">
        <f>SUM(B67:Y67)</f>
        <v>153600</v>
      </c>
    </row>
    <row r="68" spans="1:30" hidden="true" outlineLevel="1">
      <c r="A68" s="181" t="str">
        <f>Calculations!$A$5</f>
        <v>Potatoes</v>
      </c>
      <c r="B68" s="36">
        <f>N68</f>
        <v>4608</v>
      </c>
      <c r="C68" s="36">
        <f>O68</f>
        <v>4608</v>
      </c>
      <c r="D68" s="36">
        <f>P68</f>
        <v>4608</v>
      </c>
      <c r="E68" s="36">
        <f>Q68</f>
        <v>0</v>
      </c>
      <c r="F68" s="36">
        <f>R68</f>
        <v>4608</v>
      </c>
      <c r="G68" s="36">
        <f>S68</f>
        <v>4608</v>
      </c>
      <c r="H68" s="36">
        <f>T68</f>
        <v>4608</v>
      </c>
      <c r="I68" s="36">
        <f>U68</f>
        <v>4608</v>
      </c>
      <c r="J68" s="36">
        <f>V68</f>
        <v>4608</v>
      </c>
      <c r="K68" s="36">
        <f>W68</f>
        <v>0</v>
      </c>
      <c r="L68" s="36">
        <f>X68</f>
        <v>4608</v>
      </c>
      <c r="M68" s="36">
        <f>Y68</f>
        <v>4608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4608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4608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4608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4608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4608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4608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4608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4608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4608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4608</v>
      </c>
      <c r="Z68" s="46">
        <f>SUMIF($B$13:$Y$13,"Yes",B68:Y68)</f>
        <v>50688</v>
      </c>
      <c r="AA68" s="46">
        <f>SUM(B68:M68)</f>
        <v>46080</v>
      </c>
      <c r="AB68" s="46">
        <f>SUM(B68:Y68)</f>
        <v>92160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29656.25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150</v>
      </c>
      <c r="C75" s="46">
        <f>SUM(Calculations!$R$14:$R$16)/12</f>
        <v>150</v>
      </c>
      <c r="D75" s="46">
        <f>SUM(Calculations!$R$14:$R$16)/12</f>
        <v>150</v>
      </c>
      <c r="E75" s="46">
        <f>SUM(Calculations!$R$14:$R$16)/12</f>
        <v>150</v>
      </c>
      <c r="F75" s="46">
        <f>SUM(Calculations!$R$14:$R$16)/12</f>
        <v>150</v>
      </c>
      <c r="G75" s="46">
        <f>SUM(Calculations!$R$14:$R$16)/12</f>
        <v>150</v>
      </c>
      <c r="H75" s="46">
        <f>SUM(Calculations!$R$14:$R$16)/12</f>
        <v>150</v>
      </c>
      <c r="I75" s="46">
        <f>SUM(Calculations!$R$14:$R$16)/12</f>
        <v>150</v>
      </c>
      <c r="J75" s="46">
        <f>SUM(Calculations!$R$14:$R$16)/12</f>
        <v>150</v>
      </c>
      <c r="K75" s="46">
        <f>SUM(Calculations!$R$14:$R$16)/12</f>
        <v>150</v>
      </c>
      <c r="L75" s="46">
        <f>SUM(Calculations!$R$14:$R$16)/12</f>
        <v>150</v>
      </c>
      <c r="M75" s="46">
        <f>SUM(Calculations!$R$14:$R$16)/12</f>
        <v>150</v>
      </c>
      <c r="N75" s="46">
        <f>SUM(Calculations!$R$14:$R$16)/12</f>
        <v>150</v>
      </c>
      <c r="O75" s="46">
        <f>SUM(Calculations!$R$14:$R$16)/12</f>
        <v>150</v>
      </c>
      <c r="P75" s="46">
        <f>SUM(Calculations!$R$14:$R$16)/12</f>
        <v>150</v>
      </c>
      <c r="Q75" s="46">
        <f>SUM(Calculations!$R$14:$R$16)/12</f>
        <v>150</v>
      </c>
      <c r="R75" s="46">
        <f>SUM(Calculations!$R$14:$R$16)/12</f>
        <v>150</v>
      </c>
      <c r="S75" s="46">
        <f>SUM(Calculations!$R$14:$R$16)/12</f>
        <v>150</v>
      </c>
      <c r="T75" s="46">
        <f>SUM(Calculations!$R$14:$R$16)/12</f>
        <v>150</v>
      </c>
      <c r="U75" s="46">
        <f>SUM(Calculations!$R$14:$R$16)/12</f>
        <v>150</v>
      </c>
      <c r="V75" s="46">
        <f>SUM(Calculations!$R$14:$R$16)/12</f>
        <v>150</v>
      </c>
      <c r="W75" s="46">
        <f>SUM(Calculations!$R$14:$R$16)/12</f>
        <v>150</v>
      </c>
      <c r="X75" s="46">
        <f>SUM(Calculations!$R$14:$R$16)/12</f>
        <v>150</v>
      </c>
      <c r="Y75" s="46">
        <f>SUM(Calculations!$R$14:$R$16)/12</f>
        <v>150</v>
      </c>
      <c r="Z75" s="46">
        <f>SUMIF($B$13:$Y$13,"Yes",B75:Y75)</f>
        <v>1950</v>
      </c>
      <c r="AA75" s="46">
        <f>SUM(B75:M75)</f>
        <v>1800</v>
      </c>
      <c r="AB75" s="46">
        <f>SUM(B75:Y75)</f>
        <v>3600</v>
      </c>
    </row>
    <row r="76" spans="1:30">
      <c r="A76" s="16" t="s">
        <v>48</v>
      </c>
      <c r="B76" s="46">
        <f>SUM(Calculations!$S$14:$S$16)/12</f>
        <v>175</v>
      </c>
      <c r="C76" s="46">
        <f>SUM(Calculations!$S$14:$S$16)/12</f>
        <v>175</v>
      </c>
      <c r="D76" s="46">
        <f>SUM(Calculations!$S$14:$S$16)/12</f>
        <v>175</v>
      </c>
      <c r="E76" s="46">
        <f>SUM(Calculations!$S$14:$S$16)/12</f>
        <v>175</v>
      </c>
      <c r="F76" s="46">
        <f>SUM(Calculations!$S$14:$S$16)/12</f>
        <v>175</v>
      </c>
      <c r="G76" s="46">
        <f>SUM(Calculations!$S$14:$S$16)/12</f>
        <v>175</v>
      </c>
      <c r="H76" s="46">
        <f>SUM(Calculations!$S$14:$S$16)/12</f>
        <v>175</v>
      </c>
      <c r="I76" s="46">
        <f>SUM(Calculations!$S$14:$S$16)/12</f>
        <v>175</v>
      </c>
      <c r="J76" s="46">
        <f>SUM(Calculations!$S$14:$S$16)/12</f>
        <v>175</v>
      </c>
      <c r="K76" s="46">
        <f>SUM(Calculations!$S$14:$S$16)/12</f>
        <v>175</v>
      </c>
      <c r="L76" s="46">
        <f>SUM(Calculations!$S$14:$S$16)/12</f>
        <v>175</v>
      </c>
      <c r="M76" s="46">
        <f>SUM(Calculations!$S$14:$S$16)/12</f>
        <v>175</v>
      </c>
      <c r="N76" s="46">
        <f>SUM(Calculations!$S$14:$S$16)/12</f>
        <v>175</v>
      </c>
      <c r="O76" s="46">
        <f>SUM(Calculations!$S$14:$S$16)/12</f>
        <v>175</v>
      </c>
      <c r="P76" s="46">
        <f>SUM(Calculations!$S$14:$S$16)/12</f>
        <v>175</v>
      </c>
      <c r="Q76" s="46">
        <f>SUM(Calculations!$S$14:$S$16)/12</f>
        <v>175</v>
      </c>
      <c r="R76" s="46">
        <f>SUM(Calculations!$S$14:$S$16)/12</f>
        <v>175</v>
      </c>
      <c r="S76" s="46">
        <f>SUM(Calculations!$S$14:$S$16)/12</f>
        <v>175</v>
      </c>
      <c r="T76" s="46">
        <f>SUM(Calculations!$S$14:$S$16)/12</f>
        <v>175</v>
      </c>
      <c r="U76" s="46">
        <f>SUM(Calculations!$S$14:$S$16)/12</f>
        <v>175</v>
      </c>
      <c r="V76" s="46">
        <f>SUM(Calculations!$S$14:$S$16)/12</f>
        <v>175</v>
      </c>
      <c r="W76" s="46">
        <f>SUM(Calculations!$S$14:$S$16)/12</f>
        <v>175</v>
      </c>
      <c r="X76" s="46">
        <f>SUM(Calculations!$S$14:$S$16)/12</f>
        <v>175</v>
      </c>
      <c r="Y76" s="46">
        <f>SUM(Calculations!$S$14:$S$16)/12</f>
        <v>175</v>
      </c>
      <c r="Z76" s="46">
        <f>SUMIF($B$13:$Y$13,"Yes",B76:Y76)</f>
        <v>2275</v>
      </c>
      <c r="AA76" s="46">
        <f>SUM(B76:M76)</f>
        <v>2100</v>
      </c>
      <c r="AB76" s="46">
        <f>SUM(B76:Y76)</f>
        <v>4200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</v>
      </c>
      <c r="C79" s="46">
        <f>Inputs!$B$31</f>
        <v>1500</v>
      </c>
      <c r="D79" s="46">
        <f>Inputs!$B$31</f>
        <v>1500</v>
      </c>
      <c r="E79" s="46">
        <f>Inputs!$B$31</f>
        <v>1500</v>
      </c>
      <c r="F79" s="46">
        <f>Inputs!$B$31</f>
        <v>1500</v>
      </c>
      <c r="G79" s="46">
        <f>Inputs!$B$31</f>
        <v>1500</v>
      </c>
      <c r="H79" s="46">
        <f>Inputs!$B$31</f>
        <v>1500</v>
      </c>
      <c r="I79" s="46">
        <f>Inputs!$B$31</f>
        <v>1500</v>
      </c>
      <c r="J79" s="46">
        <f>Inputs!$B$31</f>
        <v>1500</v>
      </c>
      <c r="K79" s="46">
        <f>Inputs!$B$31</f>
        <v>1500</v>
      </c>
      <c r="L79" s="46">
        <f>Inputs!$B$31</f>
        <v>1500</v>
      </c>
      <c r="M79" s="46">
        <f>Inputs!$B$31</f>
        <v>1500</v>
      </c>
      <c r="N79" s="46">
        <f>Inputs!$B$31</f>
        <v>1500</v>
      </c>
      <c r="O79" s="46">
        <f>Inputs!$B$31</f>
        <v>1500</v>
      </c>
      <c r="P79" s="46">
        <f>Inputs!$B$31</f>
        <v>1500</v>
      </c>
      <c r="Q79" s="46">
        <f>Inputs!$B$31</f>
        <v>1500</v>
      </c>
      <c r="R79" s="46">
        <f>Inputs!$B$31</f>
        <v>1500</v>
      </c>
      <c r="S79" s="46">
        <f>Inputs!$B$31</f>
        <v>1500</v>
      </c>
      <c r="T79" s="46">
        <f>Inputs!$B$31</f>
        <v>1500</v>
      </c>
      <c r="U79" s="46">
        <f>Inputs!$B$31</f>
        <v>1500</v>
      </c>
      <c r="V79" s="46">
        <f>Inputs!$B$31</f>
        <v>1500</v>
      </c>
      <c r="W79" s="46">
        <f>Inputs!$B$31</f>
        <v>1500</v>
      </c>
      <c r="X79" s="46">
        <f>Inputs!$B$31</f>
        <v>1500</v>
      </c>
      <c r="Y79" s="46">
        <f>Inputs!$B$31</f>
        <v>1500</v>
      </c>
      <c r="Z79" s="46">
        <f>SUMIF($B$13:$Y$13,"Yes",B79:Y79)</f>
        <v>19500</v>
      </c>
      <c r="AA79" s="46">
        <f>SUM(B79:M79)</f>
        <v>18000</v>
      </c>
      <c r="AB79" s="46">
        <f>SUM(B79:Y79)</f>
        <v>36000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38982.15880066857</v>
      </c>
      <c r="C81" s="46">
        <f>(SUM($AA$18:$AA$29)-SUM($AA$36,$AA$42,$AA$48,$AA$54,$AA$60,$AA$66,$AA$72:$AA$79))*Parameters!$B$37/12</f>
        <v>38982.15880066857</v>
      </c>
      <c r="D81" s="46">
        <f>(SUM($AA$18:$AA$29)-SUM($AA$36,$AA$42,$AA$48,$AA$54,$AA$60,$AA$66,$AA$72:$AA$79))*Parameters!$B$37/12</f>
        <v>38982.15880066857</v>
      </c>
      <c r="E81" s="46">
        <f>(SUM($AA$18:$AA$29)-SUM($AA$36,$AA$42,$AA$48,$AA$54,$AA$60,$AA$66,$AA$72:$AA$79))*Parameters!$B$37/12</f>
        <v>38982.15880066857</v>
      </c>
      <c r="F81" s="46">
        <f>(SUM($AA$18:$AA$29)-SUM($AA$36,$AA$42,$AA$48,$AA$54,$AA$60,$AA$66,$AA$72:$AA$79))*Parameters!$B$37/12</f>
        <v>38982.15880066857</v>
      </c>
      <c r="G81" s="46">
        <f>(SUM($AA$18:$AA$29)-SUM($AA$36,$AA$42,$AA$48,$AA$54,$AA$60,$AA$66,$AA$72:$AA$79))*Parameters!$B$37/12</f>
        <v>38982.15880066857</v>
      </c>
      <c r="H81" s="46">
        <f>(SUM($AA$18:$AA$29)-SUM($AA$36,$AA$42,$AA$48,$AA$54,$AA$60,$AA$66,$AA$72:$AA$79))*Parameters!$B$37/12</f>
        <v>38982.15880066857</v>
      </c>
      <c r="I81" s="46">
        <f>(SUM($AA$18:$AA$29)-SUM($AA$36,$AA$42,$AA$48,$AA$54,$AA$60,$AA$66,$AA$72:$AA$79))*Parameters!$B$37/12</f>
        <v>38982.15880066857</v>
      </c>
      <c r="J81" s="46">
        <f>(SUM($AA$18:$AA$29)-SUM($AA$36,$AA$42,$AA$48,$AA$54,$AA$60,$AA$66,$AA$72:$AA$79))*Parameters!$B$37/12</f>
        <v>38982.15880066857</v>
      </c>
      <c r="K81" s="46">
        <f>(SUM($AA$18:$AA$29)-SUM($AA$36,$AA$42,$AA$48,$AA$54,$AA$60,$AA$66,$AA$72:$AA$79))*Parameters!$B$37/12</f>
        <v>38982.15880066857</v>
      </c>
      <c r="L81" s="46">
        <f>(SUM($AA$18:$AA$29)-SUM($AA$36,$AA$42,$AA$48,$AA$54,$AA$60,$AA$66,$AA$72:$AA$79))*Parameters!$B$37/12</f>
        <v>38982.15880066857</v>
      </c>
      <c r="M81" s="46">
        <f>(SUM($AA$18:$AA$29)-SUM($AA$36,$AA$42,$AA$48,$AA$54,$AA$60,$AA$66,$AA$72:$AA$79))*Parameters!$B$37/12</f>
        <v>38982.15880066857</v>
      </c>
      <c r="N81" s="46">
        <f>(SUM($AA$18:$AA$29)-SUM($AA$36,$AA$42,$AA$48,$AA$54,$AA$60,$AA$66,$AA$72:$AA$79))*Parameters!$B$37/12</f>
        <v>38982.15880066857</v>
      </c>
      <c r="O81" s="46">
        <f>(SUM($AA$18:$AA$29)-SUM($AA$36,$AA$42,$AA$48,$AA$54,$AA$60,$AA$66,$AA$72:$AA$79))*Parameters!$B$37/12</f>
        <v>38982.15880066857</v>
      </c>
      <c r="P81" s="46">
        <f>(SUM($AA$18:$AA$29)-SUM($AA$36,$AA$42,$AA$48,$AA$54,$AA$60,$AA$66,$AA$72:$AA$79))*Parameters!$B$37/12</f>
        <v>38982.15880066857</v>
      </c>
      <c r="Q81" s="46">
        <f>(SUM($AA$18:$AA$29)-SUM($AA$36,$AA$42,$AA$48,$AA$54,$AA$60,$AA$66,$AA$72:$AA$79))*Parameters!$B$37/12</f>
        <v>38982.15880066857</v>
      </c>
      <c r="R81" s="46">
        <f>(SUM($AA$18:$AA$29)-SUM($AA$36,$AA$42,$AA$48,$AA$54,$AA$60,$AA$66,$AA$72:$AA$79))*Parameters!$B$37/12</f>
        <v>38982.15880066857</v>
      </c>
      <c r="S81" s="46">
        <f>(SUM($AA$18:$AA$29)-SUM($AA$36,$AA$42,$AA$48,$AA$54,$AA$60,$AA$66,$AA$72:$AA$79))*Parameters!$B$37/12</f>
        <v>38982.15880066857</v>
      </c>
      <c r="T81" s="46">
        <f>(SUM($AA$18:$AA$29)-SUM($AA$36,$AA$42,$AA$48,$AA$54,$AA$60,$AA$66,$AA$72:$AA$79))*Parameters!$B$37/12</f>
        <v>38982.15880066857</v>
      </c>
      <c r="U81" s="46">
        <f>(SUM($AA$18:$AA$29)-SUM($AA$36,$AA$42,$AA$48,$AA$54,$AA$60,$AA$66,$AA$72:$AA$79))*Parameters!$B$37/12</f>
        <v>38982.15880066857</v>
      </c>
      <c r="V81" s="46">
        <f>(SUM($AA$18:$AA$29)-SUM($AA$36,$AA$42,$AA$48,$AA$54,$AA$60,$AA$66,$AA$72:$AA$79))*Parameters!$B$37/12</f>
        <v>38982.15880066857</v>
      </c>
      <c r="W81" s="46">
        <f>(SUM($AA$18:$AA$29)-SUM($AA$36,$AA$42,$AA$48,$AA$54,$AA$60,$AA$66,$AA$72:$AA$79))*Parameters!$B$37/12</f>
        <v>38982.15880066857</v>
      </c>
      <c r="X81" s="46">
        <f>(SUM($AA$18:$AA$29)-SUM($AA$36,$AA$42,$AA$48,$AA$54,$AA$60,$AA$66,$AA$72:$AA$79))*Parameters!$B$37/12</f>
        <v>38982.15880066857</v>
      </c>
      <c r="Y81" s="46">
        <f>(SUM($AA$18:$AA$29)-SUM($AA$36,$AA$42,$AA$48,$AA$54,$AA$60,$AA$66,$AA$72:$AA$79))*Parameters!$B$37/12</f>
        <v>38982.15880066857</v>
      </c>
      <c r="Z81" s="46">
        <f>SUMIF($B$13:$Y$13,"Yes",B81:Y81)</f>
        <v>506768.0644086913</v>
      </c>
      <c r="AA81" s="46">
        <f>SUM(B81:M81)</f>
        <v>467785.9056080228</v>
      </c>
      <c r="AB81" s="46">
        <f>SUM(B81:Y81)</f>
        <v>935571.8112160454</v>
      </c>
    </row>
    <row r="82" spans="1:30">
      <c r="A82" s="16" t="s">
        <v>52</v>
      </c>
      <c r="B82" s="46">
        <f>SUM(B83:B87)</f>
        <v>3237.344398340249</v>
      </c>
      <c r="C82" s="46">
        <f>SUM(C83:C87)</f>
        <v>3237.344398340249</v>
      </c>
      <c r="D82" s="46">
        <f>SUM(D83:D87)</f>
        <v>3237.344398340249</v>
      </c>
      <c r="E82" s="46">
        <f>SUM(E83:E87)</f>
        <v>3237.344398340249</v>
      </c>
      <c r="F82" s="46">
        <f>SUM(F83:F87)</f>
        <v>3237.344398340249</v>
      </c>
      <c r="G82" s="46">
        <f>SUM(G83:G87)</f>
        <v>3237.344398340249</v>
      </c>
      <c r="H82" s="46">
        <f>SUM(H83:H87)</f>
        <v>3237.344398340249</v>
      </c>
      <c r="I82" s="46">
        <f>SUM(I83:I87)</f>
        <v>3237.344398340249</v>
      </c>
      <c r="J82" s="46">
        <f>SUM(J83:J87)</f>
        <v>3237.344398340249</v>
      </c>
      <c r="K82" s="46">
        <f>SUM(K83:K87)</f>
        <v>3237.344398340249</v>
      </c>
      <c r="L82" s="46">
        <f>SUM(L83:L87)</f>
        <v>3237.344398340249</v>
      </c>
      <c r="M82" s="46">
        <f>SUM(M83:M87)</f>
        <v>3237.344398340249</v>
      </c>
      <c r="N82" s="46">
        <f>SUM(N83:N87)</f>
        <v>3237.344398340249</v>
      </c>
      <c r="O82" s="46">
        <f>SUM(O83:O87)</f>
        <v>3237.344398340249</v>
      </c>
      <c r="P82" s="46">
        <f>SUM(P83:P87)</f>
        <v>3237.344398340249</v>
      </c>
      <c r="Q82" s="46">
        <f>SUM(Q83:Q87)</f>
        <v>3237.344398340249</v>
      </c>
      <c r="R82" s="46">
        <f>SUM(R83:R87)</f>
        <v>3237.344398340249</v>
      </c>
      <c r="S82" s="46">
        <f>SUM(S83:S87)</f>
        <v>3237.344398340249</v>
      </c>
      <c r="T82" s="46">
        <f>SUM(T83:T87)</f>
        <v>3237.344398340249</v>
      </c>
      <c r="U82" s="46">
        <f>SUM(U83:U87)</f>
        <v>3237.344398340249</v>
      </c>
      <c r="V82" s="46">
        <f>SUM(V83:V87)</f>
        <v>3237.344398340249</v>
      </c>
      <c r="W82" s="46">
        <f>SUM(W83:W87)</f>
        <v>3237.344398340249</v>
      </c>
      <c r="X82" s="46">
        <f>SUM(X83:X87)</f>
        <v>3237.344398340249</v>
      </c>
      <c r="Y82" s="46">
        <f>SUM(Y83:Y87)</f>
        <v>3237.344398340249</v>
      </c>
      <c r="Z82" s="46">
        <f>SUMIF($B$13:$Y$13,"Yes",B82:Y82)</f>
        <v>42085.47717842324</v>
      </c>
      <c r="AA82" s="46">
        <f>SUM(B82:M82)</f>
        <v>38848.13278008299</v>
      </c>
      <c r="AB82" s="46">
        <f>SUM(B82:Y82)</f>
        <v>77696.26556016598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3237.344398340249</v>
      </c>
      <c r="C83" s="46">
        <f>IF(Calculations!$E23&gt;COUNT(Output!$B$35:C$35),Calculations!$B23,IF(Calculations!$E23=COUNT(Output!$B$35:C$35),Inputs!$B56-Calculations!$C23*(Calculations!$E23-1)+Calculations!$D23,0))</f>
        <v>3237.344398340249</v>
      </c>
      <c r="D83" s="46">
        <f>IF(Calculations!$E23&gt;COUNT(Output!$B$35:D$35),Calculations!$B23,IF(Calculations!$E23=COUNT(Output!$B$35:D$35),Inputs!$B56-Calculations!$C23*(Calculations!$E23-1)+Calculations!$D23,0))</f>
        <v>3237.344398340249</v>
      </c>
      <c r="E83" s="46">
        <f>IF(Calculations!$E23&gt;COUNT(Output!$B$35:E$35),Calculations!$B23,IF(Calculations!$E23=COUNT(Output!$B$35:E$35),Inputs!$B56-Calculations!$C23*(Calculations!$E23-1)+Calculations!$D23,0))</f>
        <v>3237.344398340249</v>
      </c>
      <c r="F83" s="46">
        <f>IF(Calculations!$E23&gt;COUNT(Output!$B$35:F$35),Calculations!$B23,IF(Calculations!$E23=COUNT(Output!$B$35:F$35),Inputs!$B56-Calculations!$C23*(Calculations!$E23-1)+Calculations!$D23,0))</f>
        <v>3237.344398340249</v>
      </c>
      <c r="G83" s="46">
        <f>IF(Calculations!$E23&gt;COUNT(Output!$B$35:G$35),Calculations!$B23,IF(Calculations!$E23=COUNT(Output!$B$35:G$35),Inputs!$B56-Calculations!$C23*(Calculations!$E23-1)+Calculations!$D23,0))</f>
        <v>3237.344398340249</v>
      </c>
      <c r="H83" s="46">
        <f>IF(Calculations!$E23&gt;COUNT(Output!$B$35:H$35),Calculations!$B23,IF(Calculations!$E23=COUNT(Output!$B$35:H$35),Inputs!$B56-Calculations!$C23*(Calculations!$E23-1)+Calculations!$D23,0))</f>
        <v>3237.344398340249</v>
      </c>
      <c r="I83" s="46">
        <f>IF(Calculations!$E23&gt;COUNT(Output!$B$35:I$35),Calculations!$B23,IF(Calculations!$E23=COUNT(Output!$B$35:I$35),Inputs!$B56-Calculations!$C23*(Calculations!$E23-1)+Calculations!$D23,0))</f>
        <v>3237.344398340249</v>
      </c>
      <c r="J83" s="46">
        <f>IF(Calculations!$E23&gt;COUNT(Output!$B$35:J$35),Calculations!$B23,IF(Calculations!$E23=COUNT(Output!$B$35:J$35),Inputs!$B56-Calculations!$C23*(Calculations!$E23-1)+Calculations!$D23,0))</f>
        <v>3237.344398340249</v>
      </c>
      <c r="K83" s="46">
        <f>IF(Calculations!$E23&gt;COUNT(Output!$B$35:K$35),Calculations!$B23,IF(Calculations!$E23=COUNT(Output!$B$35:K$35),Inputs!$B56-Calculations!$C23*(Calculations!$E23-1)+Calculations!$D23,0))</f>
        <v>3237.344398340249</v>
      </c>
      <c r="L83" s="46">
        <f>IF(Calculations!$E23&gt;COUNT(Output!$B$35:L$35),Calculations!$B23,IF(Calculations!$E23=COUNT(Output!$B$35:L$35),Inputs!$B56-Calculations!$C23*(Calculations!$E23-1)+Calculations!$D23,0))</f>
        <v>3237.344398340249</v>
      </c>
      <c r="M83" s="46">
        <f>IF(Calculations!$E23&gt;COUNT(Output!$B$35:M$35),Calculations!$B23,IF(Calculations!$E23=COUNT(Output!$B$35:M$35),Inputs!$B56-Calculations!$C23*(Calculations!$E23-1)+Calculations!$D23,0))</f>
        <v>3237.344398340249</v>
      </c>
      <c r="N83" s="46">
        <f>IF(Calculations!$E23&gt;COUNT(Output!$B$35:N$35),Calculations!$B23,IF(Calculations!$E23=COUNT(Output!$B$35:N$35),Inputs!$B56-Calculations!$C23*(Calculations!$E23-1)+Calculations!$D23,0))</f>
        <v>3237.344398340249</v>
      </c>
      <c r="O83" s="46">
        <f>IF(Calculations!$E23&gt;COUNT(Output!$B$35:O$35),Calculations!$B23,IF(Calculations!$E23=COUNT(Output!$B$35:O$35),Inputs!$B56-Calculations!$C23*(Calculations!$E23-1)+Calculations!$D23,0))</f>
        <v>3237.344398340249</v>
      </c>
      <c r="P83" s="46">
        <f>IF(Calculations!$E23&gt;COUNT(Output!$B$35:P$35),Calculations!$B23,IF(Calculations!$E23=COUNT(Output!$B$35:P$35),Inputs!$B56-Calculations!$C23*(Calculations!$E23-1)+Calculations!$D23,0))</f>
        <v>3237.344398340249</v>
      </c>
      <c r="Q83" s="46">
        <f>IF(Calculations!$E23&gt;COUNT(Output!$B$35:Q$35),Calculations!$B23,IF(Calculations!$E23=COUNT(Output!$B$35:Q$35),Inputs!$B56-Calculations!$C23*(Calculations!$E23-1)+Calculations!$D23,0))</f>
        <v>3237.344398340249</v>
      </c>
      <c r="R83" s="46">
        <f>IF(Calculations!$E23&gt;COUNT(Output!$B$35:R$35),Calculations!$B23,IF(Calculations!$E23=COUNT(Output!$B$35:R$35),Inputs!$B56-Calculations!$C23*(Calculations!$E23-1)+Calculations!$D23,0))</f>
        <v>3237.344398340249</v>
      </c>
      <c r="S83" s="46">
        <f>IF(Calculations!$E23&gt;COUNT(Output!$B$35:S$35),Calculations!$B23,IF(Calculations!$E23=COUNT(Output!$B$35:S$35),Inputs!$B56-Calculations!$C23*(Calculations!$E23-1)+Calculations!$D23,0))</f>
        <v>3237.344398340249</v>
      </c>
      <c r="T83" s="46">
        <f>IF(Calculations!$E23&gt;COUNT(Output!$B$35:T$35),Calculations!$B23,IF(Calculations!$E23=COUNT(Output!$B$35:T$35),Inputs!$B56-Calculations!$C23*(Calculations!$E23-1)+Calculations!$D23,0))</f>
        <v>3237.344398340249</v>
      </c>
      <c r="U83" s="46">
        <f>IF(Calculations!$E23&gt;COUNT(Output!$B$35:U$35),Calculations!$B23,IF(Calculations!$E23=COUNT(Output!$B$35:U$35),Inputs!$B56-Calculations!$C23*(Calculations!$E23-1)+Calculations!$D23,0))</f>
        <v>3237.344398340249</v>
      </c>
      <c r="V83" s="46">
        <f>IF(Calculations!$E23&gt;COUNT(Output!$B$35:V$35),Calculations!$B23,IF(Calculations!$E23=COUNT(Output!$B$35:V$35),Inputs!$B56-Calculations!$C23*(Calculations!$E23-1)+Calculations!$D23,0))</f>
        <v>3237.344398340249</v>
      </c>
      <c r="W83" s="46">
        <f>IF(Calculations!$E23&gt;COUNT(Output!$B$35:W$35),Calculations!$B23,IF(Calculations!$E23=COUNT(Output!$B$35:W$35),Inputs!$B56-Calculations!$C23*(Calculations!$E23-1)+Calculations!$D23,0))</f>
        <v>3237.344398340249</v>
      </c>
      <c r="X83" s="46">
        <f>IF(Calculations!$E23&gt;COUNT(Output!$B$35:X$35),Calculations!$B23,IF(Calculations!$E23=COUNT(Output!$B$35:X$35),Inputs!$B56-Calculations!$C23*(Calculations!$E23-1)+Calculations!$D23,0))</f>
        <v>3237.344398340249</v>
      </c>
      <c r="Y83" s="46">
        <f>IF(Calculations!$E23&gt;COUNT(Output!$B$35:Y$35),Calculations!$B23,IF(Calculations!$E23=COUNT(Output!$B$35:Y$35),Inputs!$B56-Calculations!$C23*(Calculations!$E23-1)+Calculations!$D23,0))</f>
        <v>3237.344398340249</v>
      </c>
      <c r="Z83" s="46">
        <f>SUMIF($B$13:$Y$13,"Yes",B83:Y83)</f>
        <v>42085.47717842324</v>
      </c>
      <c r="AA83" s="46">
        <f>SUM(B83:M83)</f>
        <v>38848.13278008299</v>
      </c>
      <c r="AB83" s="46">
        <f>SUM(B83:Y83)</f>
        <v>77696.26556016598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84433.75319900882</v>
      </c>
      <c r="C88" s="19">
        <f>SUM(C72:C82,C66,C60,C54,C48,C42,C36)</f>
        <v>53933.75319900882</v>
      </c>
      <c r="D88" s="19">
        <f>SUM(D72:D82,D66,D60,D54,D48,D42,D36)</f>
        <v>53933.75319900882</v>
      </c>
      <c r="E88" s="19">
        <f>SUM(E72:E82,E66,E60,E54,E48,E42,E36)</f>
        <v>66349.75319900882</v>
      </c>
      <c r="F88" s="19">
        <f>SUM(F72:F82,F66,F60,F54,F48,F42,F36)</f>
        <v>149533.7531990088</v>
      </c>
      <c r="G88" s="19">
        <f>SUM(G72:G82,G66,G60,G54,G48,G42,G36)</f>
        <v>82733.75319900882</v>
      </c>
      <c r="H88" s="19">
        <f>SUM(H72:H82,H66,H60,H54,H48,H42,H36)</f>
        <v>84433.75319900882</v>
      </c>
      <c r="I88" s="19">
        <f>SUM(I72:I82,I66,I60,I54,I48,I42,I36)</f>
        <v>53933.75319900882</v>
      </c>
      <c r="J88" s="19">
        <f>SUM(J72:J82,J66,J60,J54,J48,J42,J36)</f>
        <v>53933.75319900882</v>
      </c>
      <c r="K88" s="19">
        <f>SUM(K72:K82,K66,K60,K54,K48,K42,K36)</f>
        <v>66349.75319900882</v>
      </c>
      <c r="L88" s="19">
        <f>SUM(L72:L82,L66,L60,L54,L48,L42,L36)</f>
        <v>149533.7531990088</v>
      </c>
      <c r="M88" s="19">
        <f>SUM(M72:M82,M66,M60,M54,M48,M42,M36)</f>
        <v>82733.75319900882</v>
      </c>
      <c r="N88" s="19">
        <f>SUM(N72:N82,N66,N60,N54,N48,N42,N36)</f>
        <v>84433.75319900882</v>
      </c>
      <c r="O88" s="19">
        <f>SUM(O72:O82,O66,O60,O54,O48,O42,O36)</f>
        <v>53933.75319900882</v>
      </c>
      <c r="P88" s="19">
        <f>SUM(P72:P82,P66,P60,P54,P48,P42,P36)</f>
        <v>53933.75319900882</v>
      </c>
      <c r="Q88" s="19">
        <f>SUM(Q72:Q82,Q66,Q60,Q54,Q48,Q42,Q36)</f>
        <v>66349.75319900882</v>
      </c>
      <c r="R88" s="19">
        <f>SUM(R72:R82,R66,R60,R54,R48,R42,R36)</f>
        <v>149533.7531990088</v>
      </c>
      <c r="S88" s="19">
        <f>SUM(S72:S82,S66,S60,S54,S48,S42,S36)</f>
        <v>82733.75319900882</v>
      </c>
      <c r="T88" s="19">
        <f>SUM(T72:T82,T66,T60,T54,T48,T42,T36)</f>
        <v>84433.75319900882</v>
      </c>
      <c r="U88" s="19">
        <f>SUM(U72:U82,U66,U60,U54,U48,U42,U36)</f>
        <v>53933.75319900882</v>
      </c>
      <c r="V88" s="19">
        <f>SUM(V72:V82,V66,V60,V54,V48,V42,V36)</f>
        <v>53933.75319900882</v>
      </c>
      <c r="W88" s="19">
        <f>SUM(W72:W82,W66,W60,W54,W48,W42,W36)</f>
        <v>66349.75319900882</v>
      </c>
      <c r="X88" s="19">
        <f>SUM(X72:X82,X66,X60,X54,X48,X42,X36)</f>
        <v>149533.7531990088</v>
      </c>
      <c r="Y88" s="19">
        <f>SUM(Y72:Y82,Y66,Y60,Y54,Y48,Y42,Y36)</f>
        <v>82733.75319900882</v>
      </c>
      <c r="Z88" s="19">
        <f>SUMIF($B$13:$Y$13,"Yes",B88:Y88)</f>
        <v>1066270.791587114</v>
      </c>
      <c r="AA88" s="19">
        <f>SUM(B88:M88)</f>
        <v>981837.0383881056</v>
      </c>
      <c r="AB88" s="19">
        <f>SUM(B88:Y88)</f>
        <v>1963674.076776211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348000</v>
      </c>
    </row>
    <row r="96" spans="1:30">
      <c r="A96" t="s">
        <v>62</v>
      </c>
      <c r="B96" s="36">
        <f>SUMPRODUCT(Inputs!C19:C21,Calculations!O14:O16)</f>
        <v>150000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12950000</v>
      </c>
    </row>
    <row r="98" spans="1:30">
      <c r="A98" t="s">
        <v>64</v>
      </c>
      <c r="B98" s="36">
        <f>IF(Inputs!B44="Yes",Inputs!B45,0)</f>
        <v>450000</v>
      </c>
    </row>
    <row r="99" spans="1:30">
      <c r="A99" t="s">
        <v>65</v>
      </c>
      <c r="B99" s="36">
        <f>Inputs!B46</f>
        <v>855000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16298000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4500</v>
      </c>
    </row>
    <row r="105" spans="1:30">
      <c r="A105" t="s">
        <v>70</v>
      </c>
      <c r="B105" s="36">
        <f>SUM(Inputs!B56:B60)</f>
        <v>45000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249500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 t="s">
        <v>95</v>
      </c>
      <c r="B8" s="16"/>
      <c r="C8" s="143">
        <v>3</v>
      </c>
      <c r="D8" s="16"/>
      <c r="E8" s="147" t="s">
        <v>90</v>
      </c>
      <c r="F8" s="149" t="s">
        <v>96</v>
      </c>
      <c r="G8" s="147"/>
      <c r="H8" s="147" t="s">
        <v>92</v>
      </c>
      <c r="I8" s="147" t="s">
        <v>93</v>
      </c>
      <c r="J8" s="148" t="s">
        <v>97</v>
      </c>
      <c r="K8" s="138"/>
      <c r="L8" s="16"/>
      <c r="M8" s="165">
        <v>10</v>
      </c>
      <c r="N8" s="154">
        <v>0</v>
      </c>
    </row>
    <row r="9" spans="1:48">
      <c r="A9" s="143" t="s">
        <v>98</v>
      </c>
      <c r="B9" s="16"/>
      <c r="C9" s="143">
        <v>0</v>
      </c>
      <c r="D9" s="16"/>
      <c r="E9" s="147" t="s">
        <v>99</v>
      </c>
      <c r="F9" s="149" t="s">
        <v>96</v>
      </c>
      <c r="G9" s="147"/>
      <c r="H9" s="147" t="s">
        <v>92</v>
      </c>
      <c r="I9" s="147" t="s">
        <v>100</v>
      </c>
      <c r="J9" s="148" t="s">
        <v>101</v>
      </c>
      <c r="K9" s="138"/>
      <c r="L9" s="16"/>
      <c r="M9" s="165">
        <v>100</v>
      </c>
      <c r="N9" s="154">
        <v>0</v>
      </c>
    </row>
    <row r="10" spans="1:48">
      <c r="A10" s="143" t="s">
        <v>98</v>
      </c>
      <c r="B10" s="16"/>
      <c r="C10" s="143">
        <v>0</v>
      </c>
      <c r="D10" s="16">
        <v>0</v>
      </c>
      <c r="E10" s="147" t="s">
        <v>99</v>
      </c>
      <c r="F10" s="149" t="s">
        <v>96</v>
      </c>
      <c r="G10" s="147"/>
      <c r="H10" s="147" t="s">
        <v>92</v>
      </c>
      <c r="I10" s="147" t="s">
        <v>100</v>
      </c>
      <c r="J10" s="148" t="s">
        <v>101</v>
      </c>
      <c r="K10" s="138" t="s">
        <v>102</v>
      </c>
      <c r="L10" s="16">
        <v>0</v>
      </c>
      <c r="M10" s="165">
        <v>100</v>
      </c>
      <c r="N10" s="154">
        <v>0</v>
      </c>
    </row>
    <row r="11" spans="1:48">
      <c r="A11" s="144" t="s">
        <v>98</v>
      </c>
      <c r="B11" s="23"/>
      <c r="C11" s="144">
        <v>0</v>
      </c>
      <c r="D11" s="23"/>
      <c r="E11" s="150" t="s">
        <v>99</v>
      </c>
      <c r="F11" s="151" t="s">
        <v>96</v>
      </c>
      <c r="G11" s="150"/>
      <c r="H11" s="150" t="s">
        <v>92</v>
      </c>
      <c r="I11" s="150" t="s">
        <v>100</v>
      </c>
      <c r="J11" s="152" t="s">
        <v>101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104</v>
      </c>
      <c r="B18" s="10" t="s">
        <v>105</v>
      </c>
      <c r="C18" s="10" t="s">
        <v>106</v>
      </c>
      <c r="D18" s="10" t="s">
        <v>107</v>
      </c>
      <c r="E18" s="10" t="s">
        <v>108</v>
      </c>
      <c r="F18" s="10" t="s">
        <v>109</v>
      </c>
      <c r="G18" s="10" t="s">
        <v>110</v>
      </c>
      <c r="H18" s="10" t="s">
        <v>111</v>
      </c>
      <c r="I18" s="10" t="s">
        <v>112</v>
      </c>
      <c r="J18" s="10" t="s">
        <v>113</v>
      </c>
      <c r="K18" s="10" t="s">
        <v>114</v>
      </c>
      <c r="L18" s="10" t="s">
        <v>115</v>
      </c>
    </row>
    <row r="19" spans="1:48">
      <c r="A19" s="142" t="s">
        <v>116</v>
      </c>
      <c r="B19" s="20"/>
      <c r="C19" s="142">
        <v>3</v>
      </c>
      <c r="D19" s="145"/>
      <c r="E19" s="20"/>
      <c r="F19" s="145" t="s">
        <v>92</v>
      </c>
      <c r="G19" s="20"/>
      <c r="H19" s="20"/>
      <c r="I19" s="145" t="s">
        <v>117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119</v>
      </c>
      <c r="B25" s="177">
        <v>20</v>
      </c>
    </row>
    <row r="27" spans="1:48">
      <c r="A27" s="14" t="s">
        <v>120</v>
      </c>
    </row>
    <row r="29" spans="1:48">
      <c r="A29" s="45" t="s">
        <v>121</v>
      </c>
      <c r="B29" s="156" t="s">
        <v>122</v>
      </c>
    </row>
    <row r="30" spans="1:48">
      <c r="A30" s="44" t="s">
        <v>123</v>
      </c>
      <c r="B30" s="157">
        <v>45000</v>
      </c>
    </row>
    <row r="31" spans="1:48">
      <c r="A31" s="5" t="s">
        <v>124</v>
      </c>
      <c r="B31" s="158">
        <v>1500</v>
      </c>
    </row>
    <row r="33" spans="1:48">
      <c r="A33" s="14" t="s">
        <v>125</v>
      </c>
    </row>
    <row r="34" spans="1:48">
      <c r="A34" s="10" t="s">
        <v>126</v>
      </c>
      <c r="B34" s="10" t="s">
        <v>127</v>
      </c>
      <c r="C34" s="10" t="s">
        <v>128</v>
      </c>
      <c r="D34" s="48" t="s">
        <v>129</v>
      </c>
    </row>
    <row r="35" spans="1:48">
      <c r="A35" s="142"/>
      <c r="B35" s="159">
        <v>0</v>
      </c>
      <c r="C35" s="145" t="s">
        <v>130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130</v>
      </c>
      <c r="D36" s="49">
        <f>IFERROR(VLOOKUP(C36,Parameters!$C$79:$D$90,2,0),"")</f>
        <v>12</v>
      </c>
    </row>
    <row r="38" spans="1:48">
      <c r="A38" s="3" t="s">
        <v>131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132</v>
      </c>
      <c r="B40" s="160" t="s">
        <v>92</v>
      </c>
    </row>
    <row r="41" spans="1:48">
      <c r="A41" s="55" t="s">
        <v>133</v>
      </c>
      <c r="B41" s="140"/>
    </row>
    <row r="42" spans="1:48">
      <c r="A42" s="55" t="s">
        <v>134</v>
      </c>
      <c r="B42" s="139"/>
    </row>
    <row r="43" spans="1:48">
      <c r="A43" s="55" t="s">
        <v>135</v>
      </c>
      <c r="B43" s="160" t="s">
        <v>136</v>
      </c>
    </row>
    <row r="44" spans="1:48">
      <c r="A44" s="56" t="s">
        <v>137</v>
      </c>
      <c r="B44" s="160" t="s">
        <v>92</v>
      </c>
    </row>
    <row r="45" spans="1:48">
      <c r="A45" s="56" t="s">
        <v>138</v>
      </c>
      <c r="B45" s="161">
        <v>450000</v>
      </c>
    </row>
    <row r="46" spans="1:48" customHeight="1" ht="30">
      <c r="A46" s="57" t="s">
        <v>139</v>
      </c>
      <c r="B46" s="161">
        <v>855000</v>
      </c>
    </row>
    <row r="47" spans="1:48" customHeight="1" ht="30">
      <c r="A47" s="57" t="s">
        <v>140</v>
      </c>
      <c r="B47" s="161">
        <v>348000</v>
      </c>
    </row>
    <row r="48" spans="1:48" customHeight="1" ht="30">
      <c r="A48" s="57" t="s">
        <v>141</v>
      </c>
      <c r="B48" s="161">
        <v>1500000</v>
      </c>
    </row>
    <row r="49" spans="1:48" customHeight="1" ht="30">
      <c r="A49" s="57" t="s">
        <v>142</v>
      </c>
      <c r="B49" s="161">
        <v>45000</v>
      </c>
    </row>
    <row r="50" spans="1:48">
      <c r="A50" s="43"/>
      <c r="B50" s="36"/>
    </row>
    <row r="51" spans="1:48">
      <c r="A51" s="58" t="s">
        <v>143</v>
      </c>
      <c r="B51" s="161">
        <v>4500</v>
      </c>
    </row>
    <row r="52" spans="1:48">
      <c r="A52" s="43"/>
    </row>
    <row r="53" spans="1:48">
      <c r="A53" s="3" t="s">
        <v>144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145</v>
      </c>
      <c r="B55" s="10" t="s">
        <v>146</v>
      </c>
      <c r="C55" s="10" t="s">
        <v>147</v>
      </c>
      <c r="D55" s="10" t="s">
        <v>148</v>
      </c>
      <c r="E55" s="10" t="s">
        <v>149</v>
      </c>
      <c r="F55" s="10" t="s">
        <v>150</v>
      </c>
    </row>
    <row r="56" spans="1:48">
      <c r="A56" s="159">
        <v>120000</v>
      </c>
      <c r="B56" s="159">
        <v>45000</v>
      </c>
      <c r="C56" s="162" t="s">
        <v>151</v>
      </c>
      <c r="D56" s="163" t="s">
        <v>152</v>
      </c>
      <c r="E56" s="163" t="s">
        <v>92</v>
      </c>
      <c r="F56" s="163" t="s">
        <v>153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129</v>
      </c>
      <c r="B65" s="10" t="s">
        <v>155</v>
      </c>
      <c r="C65" s="10" t="s">
        <v>156</v>
      </c>
    </row>
    <row r="66" spans="1:48">
      <c r="A66" s="142" t="s">
        <v>157</v>
      </c>
      <c r="B66" s="159">
        <v>143000</v>
      </c>
      <c r="C66" s="163">
        <v>140555</v>
      </c>
      <c r="D66" s="49">
        <f>INDEX(Parameters!$D$79:$D$90,MATCH(Inputs!A66,Parameters!$C$79:$C$90,0))</f>
        <v>8</v>
      </c>
    </row>
    <row r="67" spans="1:48">
      <c r="A67" s="143" t="s">
        <v>158</v>
      </c>
      <c r="B67" s="157">
        <v>126000</v>
      </c>
      <c r="C67" s="165">
        <v>121700</v>
      </c>
      <c r="D67" s="49">
        <f>INDEX(Parameters!$D$79:$D$90,MATCH(Inputs!A67,Parameters!$C$79:$C$90,0))</f>
        <v>7</v>
      </c>
    </row>
    <row r="68" spans="1:48">
      <c r="A68" s="143" t="s">
        <v>159</v>
      </c>
      <c r="B68" s="157">
        <v>141000</v>
      </c>
      <c r="C68" s="165">
        <v>139000</v>
      </c>
      <c r="D68" s="49">
        <f>INDEX(Parameters!$D$79:$D$90,MATCH(Inputs!A68,Parameters!$C$79:$C$90,0))</f>
        <v>6</v>
      </c>
    </row>
    <row r="69" spans="1:48">
      <c r="A69" s="143" t="s">
        <v>160</v>
      </c>
      <c r="B69" s="157">
        <v>165000</v>
      </c>
      <c r="C69" s="165">
        <v>161000</v>
      </c>
      <c r="D69" s="49">
        <f>INDEX(Parameters!$D$79:$D$90,MATCH(Inputs!A69,Parameters!$C$79:$C$90,0))</f>
        <v>5</v>
      </c>
    </row>
    <row r="70" spans="1:48">
      <c r="A70" s="143" t="s">
        <v>161</v>
      </c>
      <c r="B70" s="157">
        <v>123000</v>
      </c>
      <c r="C70" s="165">
        <v>119000</v>
      </c>
      <c r="D70" s="49">
        <f>INDEX(Parameters!$D$79:$D$90,MATCH(Inputs!A70,Parameters!$C$79:$C$90,0))</f>
        <v>4</v>
      </c>
    </row>
    <row r="71" spans="1:48">
      <c r="A71" s="144" t="s">
        <v>162</v>
      </c>
      <c r="B71" s="158">
        <v>165000</v>
      </c>
      <c r="C71" s="167">
        <v>160900</v>
      </c>
      <c r="D71" s="49">
        <f>INDEX(Parameters!$D$79:$D$90,MATCH(Inputs!A71,Parameters!$C$79:$C$90,0))</f>
        <v>3</v>
      </c>
    </row>
    <row r="73" spans="1:48">
      <c r="A73" s="3" t="s">
        <v>163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164</v>
      </c>
      <c r="B75" s="161">
        <v>5</v>
      </c>
    </row>
    <row r="76" spans="1:48">
      <c r="A76" t="s">
        <v>165</v>
      </c>
      <c r="B76" s="168" t="s">
        <v>166</v>
      </c>
    </row>
    <row r="78" spans="1:48" customHeight="1" ht="20.25">
      <c r="B78" s="127" t="s">
        <v>167</v>
      </c>
    </row>
    <row r="79" spans="1:48">
      <c r="A79" t="s">
        <v>168</v>
      </c>
      <c r="B79" s="168" t="s">
        <v>166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169</v>
      </c>
      <c r="B80" s="168" t="s">
        <v>170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171</v>
      </c>
      <c r="B81" s="161">
        <v>200000</v>
      </c>
    </row>
    <row r="82" spans="1:48">
      <c r="A82" t="s">
        <v>172</v>
      </c>
      <c r="B82" s="161">
        <v>20</v>
      </c>
    </row>
    <row r="83" spans="1:48">
      <c r="A83" t="s">
        <v>173</v>
      </c>
      <c r="B83" s="169" t="s">
        <v>174</v>
      </c>
    </row>
    <row r="84" spans="1:48">
      <c r="A84" t="s">
        <v>175</v>
      </c>
      <c r="B84" s="169">
        <v>1</v>
      </c>
    </row>
    <row r="85" spans="1:48">
      <c r="A85" t="s">
        <v>176</v>
      </c>
      <c r="B85" s="169">
        <v>12</v>
      </c>
    </row>
    <row r="86" spans="1:48">
      <c r="A86" t="s">
        <v>177</v>
      </c>
      <c r="B86" s="161">
        <v>3</v>
      </c>
    </row>
    <row r="87" spans="1:48">
      <c r="A87" t="s">
        <v>178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179</v>
      </c>
      <c r="C3" s="15" t="s">
        <v>180</v>
      </c>
      <c r="D3" s="15" t="s">
        <v>181</v>
      </c>
      <c r="E3" s="15" t="s">
        <v>182</v>
      </c>
      <c r="F3" s="15" t="s">
        <v>183</v>
      </c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L3" s="15" t="s">
        <v>189</v>
      </c>
      <c r="M3" s="15" t="s">
        <v>190</v>
      </c>
      <c r="N3" s="15" t="s">
        <v>191</v>
      </c>
      <c r="O3" s="15" t="s">
        <v>192</v>
      </c>
      <c r="P3" s="15" t="s">
        <v>193</v>
      </c>
      <c r="Q3" s="32" t="s">
        <v>194</v>
      </c>
      <c r="R3" s="15" t="s">
        <v>195</v>
      </c>
      <c r="S3" s="15" t="s">
        <v>196</v>
      </c>
      <c r="T3" s="15" t="s">
        <v>197</v>
      </c>
      <c r="U3" s="178" t="s">
        <v>87</v>
      </c>
      <c r="V3" s="32" t="s">
        <v>198</v>
      </c>
      <c r="W3" s="32" t="s">
        <v>199</v>
      </c>
      <c r="X3" s="32" t="s">
        <v>200</v>
      </c>
      <c r="Y3" s="32" t="s">
        <v>201</v>
      </c>
      <c r="Z3" s="32" t="s">
        <v>43</v>
      </c>
      <c r="AA3" s="32" t="s">
        <v>202</v>
      </c>
      <c r="AB3" s="32" t="s">
        <v>203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43191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43374</v>
      </c>
      <c r="H4" s="20">
        <f>Inputs!C7</f>
        <v>4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7207.992377007091</v>
      </c>
      <c r="M4" s="25">
        <f>L4*H4</f>
        <v>28831.96950802836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726565.6316023148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2424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11200</v>
      </c>
      <c r="Z4" s="33">
        <f>IF(Inputs!I7=Parameters!$F$78,H4*INDEX(Parameters!$A$3:$AI$18,MATCH(Calculations!A4,Parameters!$A$3:$A$18,0),MATCH(Parameters!$Q$3,Parameters!$A$3:$AI$3,0)),0)</f>
        <v>32000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Potatoes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43191</v>
      </c>
      <c r="D5" s="39">
        <f>IFERROR(DATE(YEAR(B5),MONTH(B5)+T5,DAY(B5)),"")</f>
        <v>43252</v>
      </c>
      <c r="E5" s="39">
        <f>IFERROR(IF($S5=0,"",IF($S5=2,DATE(YEAR(B5),MONTH(B5)+6,DAY(B5)),IF($S5=1,B5,""))),"")</f>
        <v>43313</v>
      </c>
      <c r="F5" s="39">
        <f>IFERROR(IF($S5=0,"",IF($S5=2,DATE(YEAR(C5),MONTH(C5)+6,DAY(C5)),IF($S5=1,C5,""))),"")</f>
        <v>43374</v>
      </c>
      <c r="G5" s="39">
        <f>IFERROR(IF($S5=0,"",IF($S5=2,DATE(YEAR(D5),MONTH(D5)+6,DAY(D5)),IF($S5=1,D5,""))),"")</f>
        <v>43435</v>
      </c>
      <c r="H5" s="16">
        <f>Inputs!C8</f>
        <v>3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4882.641078335685</v>
      </c>
      <c r="M5" s="30">
        <f>L5*H5</f>
        <v>14647.92323500706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11.2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295302.1324177423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72000</v>
      </c>
      <c r="W5" s="34">
        <f>IFERROR(J5*H5*Parameters!$B$35+IF(OR(Inputs!F8=Parameters!$E$78,Inputs!F8=Parameters!$E$80),Calculations!H5*Parameters!$B$36,0),0)</f>
        <v>6000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12900</v>
      </c>
      <c r="Z5" s="34">
        <f>IF(Inputs!I8=Parameters!$F$78,H5*INDEX(Parameters!$A$3:$AI$18,MATCH(Calculations!A5,Parameters!$A$3:$A$18,0),MATCH(Parameters!$Q$3,Parameters!$A$3:$AI$3,0)),0)</f>
        <v>15000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28800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104</v>
      </c>
      <c r="B13" s="15" t="s">
        <v>35</v>
      </c>
      <c r="C13" s="15" t="s">
        <v>204</v>
      </c>
      <c r="D13" s="15" t="s">
        <v>205</v>
      </c>
      <c r="E13" s="15" t="s">
        <v>206</v>
      </c>
      <c r="F13" s="15" t="s">
        <v>207</v>
      </c>
      <c r="G13" s="15" t="s">
        <v>208</v>
      </c>
      <c r="H13" s="15" t="s">
        <v>209</v>
      </c>
      <c r="I13" s="15" t="s">
        <v>210</v>
      </c>
      <c r="J13" s="15" t="s">
        <v>211</v>
      </c>
      <c r="K13" s="15" t="s">
        <v>212</v>
      </c>
      <c r="L13" s="15" t="s">
        <v>213</v>
      </c>
      <c r="M13" s="178" t="s">
        <v>214</v>
      </c>
      <c r="N13" s="178" t="s">
        <v>215</v>
      </c>
      <c r="O13" s="62" t="s">
        <v>216</v>
      </c>
      <c r="P13" s="62" t="s">
        <v>217</v>
      </c>
      <c r="Q13" s="62" t="s">
        <v>218</v>
      </c>
      <c r="R13" s="62" t="s">
        <v>219</v>
      </c>
      <c r="S13" s="62" t="s">
        <v>220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3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3.6</v>
      </c>
      <c r="H14" s="121">
        <f>IFERROR(IF(B14="meat",INDEX(Parameters!$A$22:$P$29,MATCH(Calculations!A14,Parameters!$A$22:$A$29,0),MATCH(Parameters!$I$22,Parameters!$A$22:$P$22,0))*G14,""),"")</f>
        <v>359.9999999999999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82799.99999999999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1800</v>
      </c>
      <c r="S14" s="63">
        <f>IFERROR(D14*INDEX(Parameters!$A$22:$P$29,MATCH(Calculations!$A14,Parameters!$A$22:$A$29,0),MATCH(Parameters!$N$22,Parameters!$A$22:$P$22,0)),"")</f>
        <v>2100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145</v>
      </c>
      <c r="B22" s="74" t="s">
        <v>221</v>
      </c>
      <c r="C22" s="74" t="s">
        <v>222</v>
      </c>
      <c r="D22" s="74" t="s">
        <v>223</v>
      </c>
      <c r="E22" s="74" t="s">
        <v>224</v>
      </c>
    </row>
    <row r="23" spans="1:52">
      <c r="A23" s="75">
        <f>Inputs!A56</f>
        <v>120000</v>
      </c>
      <c r="B23" s="75">
        <f>SUM(C23:D23)</f>
        <v>3237.344398340249</v>
      </c>
      <c r="C23" s="75">
        <f>IF(Inputs!B56&gt;0,(Inputs!A56-Inputs!B56)/(DATE(YEAR(Inputs!$B$76),MONTH(Inputs!$B$76),DAY(Inputs!$B$76))-DATE(YEAR(Inputs!C56),MONTH(Inputs!C56),DAY(Inputs!C56)))*30,0)</f>
        <v>1037.344398340249</v>
      </c>
      <c r="D23" s="75">
        <f>IF(Inputs!B56&gt;0,Inputs!A56*0.22/12,0)</f>
        <v>2200</v>
      </c>
      <c r="E23" s="75">
        <f>IFERROR(ROUNDUP(Inputs!B56/C23,0),0)</f>
        <v>44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226</v>
      </c>
      <c r="B32" s="129" t="s">
        <v>227</v>
      </c>
      <c r="C32" s="129" t="s">
        <v>228</v>
      </c>
      <c r="D32" s="129" t="s">
        <v>229</v>
      </c>
      <c r="F32" s="132" t="s">
        <v>230</v>
      </c>
      <c r="G32" s="132" t="s">
        <v>231</v>
      </c>
      <c r="I32" s="174" t="s">
        <v>232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43054</v>
      </c>
      <c r="C33" s="27">
        <f>IF(B33&lt;&gt;"",IF(COUNT($A$33:A33)&lt;=$G$39,0,$G$41)+IF(COUNT($A$33:A33)&lt;=$G$40,0,$G$42),0)</f>
        <v>3333.333333333333</v>
      </c>
      <c r="D33" s="170">
        <f>IFERROR(DATE(YEAR(B33),MONTH(B33),1)," ")</f>
        <v>43040</v>
      </c>
      <c r="F33" t="s">
        <v>168</v>
      </c>
      <c r="G33" s="128">
        <f>IF(Inputs!B79="","",DATE(YEAR(Inputs!B79),MONTH(Inputs!B79),DAY(Inputs!B79)))</f>
        <v>43018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43084</v>
      </c>
      <c r="C34" s="27">
        <f>IF(B34&lt;&gt;"",IF(COUNT($A$33:A34)&lt;=$G$39,0,$G$41)+IF(COUNT($A$33:A34)&lt;=$G$40,0,$G$42),0)</f>
        <v>3333.333333333333</v>
      </c>
      <c r="D34" s="170">
        <f>IFERROR(DATE(YEAR(B34),MONTH(B34),1)," ")</f>
        <v>43070</v>
      </c>
      <c r="F34" t="s">
        <v>169</v>
      </c>
      <c r="G34" s="128">
        <f>IF(Inputs!B80="","",DATE(YEAR(Inputs!B80),MONTH(Inputs!B80),DAY(Inputs!B80)))</f>
        <v>43054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43115</v>
      </c>
      <c r="C35" s="27">
        <f>IF(B35&lt;&gt;"",IF(COUNT($A$33:A35)&lt;=$G$39,0,$G$41)+IF(COUNT($A$33:A35)&lt;=$G$40,0,$G$42),0)</f>
        <v>3333.333333333333</v>
      </c>
      <c r="D35" s="170">
        <f>IFERROR(DATE(YEAR(B35),MONTH(B35),1)," ")</f>
        <v>43101</v>
      </c>
      <c r="F35" t="s">
        <v>171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43146</v>
      </c>
      <c r="C36" s="27">
        <f>IF(B36&lt;&gt;"",IF(COUNT($A$33:A36)&lt;=$G$39,0,$G$41)+IF(COUNT($A$33:A36)&lt;=$G$40,0,$G$42),0)</f>
        <v>25555.55555555555</v>
      </c>
      <c r="D36" s="170">
        <f>IFERROR(DATE(YEAR(B36),MONTH(B36),1)," ")</f>
        <v>43132</v>
      </c>
      <c r="F36" t="s">
        <v>172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43174</v>
      </c>
      <c r="C37" s="27">
        <f>IF(B37&lt;&gt;"",IF(COUNT($A$33:A37)&lt;=$G$39,0,$G$41)+IF(COUNT($A$33:A37)&lt;=$G$40,0,$G$42),0)</f>
        <v>25555.55555555555</v>
      </c>
      <c r="D37" s="170">
        <f>IFERROR(DATE(YEAR(B37),MONTH(B37),1)," ")</f>
        <v>43160</v>
      </c>
      <c r="F37" t="s">
        <v>233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43205</v>
      </c>
      <c r="C38" s="27">
        <f>IF(B38&lt;&gt;"",IF(COUNT($A$33:A38)&lt;=$G$39,0,$G$41)+IF(COUNT($A$33:A38)&lt;=$G$40,0,$G$42),0)</f>
        <v>25555.55555555555</v>
      </c>
      <c r="D38" s="170">
        <f>IFERROR(DATE(YEAR(B38),MONTH(B38),1)," ")</f>
        <v>43191</v>
      </c>
      <c r="F38" t="s">
        <v>234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43235</v>
      </c>
      <c r="C39" s="27">
        <f>IF(B39&lt;&gt;"",IF(COUNT($A$33:A39)&lt;=$G$39,0,$G$41)+IF(COUNT($A$33:A39)&lt;=$G$40,0,$G$42),0)</f>
        <v>25555.55555555555</v>
      </c>
      <c r="D39" s="170">
        <f>IFERROR(DATE(YEAR(B39),MONTH(B39),1)," ")</f>
        <v>43221</v>
      </c>
      <c r="F39" t="s">
        <v>177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43266</v>
      </c>
      <c r="C40" s="27">
        <f>IF(B40&lt;&gt;"",IF(COUNT($A$33:A40)&lt;=$G$39,0,$G$41)+IF(COUNT($A$33:A40)&lt;=$G$40,0,$G$42),0)</f>
        <v>25555.55555555555</v>
      </c>
      <c r="D40" s="170">
        <f>IFERROR(DATE(YEAR(B40),MONTH(B40),1)," ")</f>
        <v>43252</v>
      </c>
      <c r="F40" t="s">
        <v>178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43296</v>
      </c>
      <c r="C41" s="27">
        <f>IF(B41&lt;&gt;"",IF(COUNT($A$33:A41)&lt;=$G$39,0,$G$41)+IF(COUNT($A$33:A41)&lt;=$G$40,0,$G$42),0)</f>
        <v>25555.55555555555</v>
      </c>
      <c r="D41" s="170">
        <f>IFERROR(DATE(YEAR(B41),MONTH(B41),1)," ")</f>
        <v>43282</v>
      </c>
      <c r="F41" t="s">
        <v>235</v>
      </c>
      <c r="G41" s="73">
        <f>IFERROR(G35/(G38-G39),"")</f>
        <v>22222.22222222222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43327</v>
      </c>
      <c r="C42" s="27">
        <f>IF(B42&lt;&gt;"",IF(COUNT($A$33:A42)&lt;=$G$39,0,$G$41)+IF(COUNT($A$33:A42)&lt;=$G$40,0,$G$42),0)</f>
        <v>25555.55555555555</v>
      </c>
      <c r="D42" s="170">
        <f>IFERROR(DATE(YEAR(B42),MONTH(B42),1)," ")</f>
        <v>43313</v>
      </c>
      <c r="F42" t="s">
        <v>236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43358</v>
      </c>
      <c r="C43" s="27">
        <f>IF(B43&lt;&gt;"",IF(COUNT($A$33:A43)&lt;=$G$39,0,$G$41)+IF(COUNT($A$33:A43)&lt;=$G$40,0,$G$42),0)</f>
        <v>25555.55555555555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43388</v>
      </c>
      <c r="C44" s="27">
        <f>IF(B44&lt;&gt;"",IF(COUNT($A$33:A44)&lt;=$G$39,0,$G$41)+IF(COUNT($A$33:A44)&lt;=$G$40,0,$G$42),0)</f>
        <v>25555.55555555555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237</v>
      </c>
      <c r="C3" s="10" t="s">
        <v>238</v>
      </c>
      <c r="D3" s="10" t="s">
        <v>239</v>
      </c>
      <c r="E3" s="10" t="s">
        <v>240</v>
      </c>
      <c r="F3" s="10" t="s">
        <v>241</v>
      </c>
      <c r="G3" s="10" t="s">
        <v>242</v>
      </c>
      <c r="H3" s="10" t="s">
        <v>243</v>
      </c>
      <c r="I3" s="10" t="s">
        <v>244</v>
      </c>
      <c r="J3" s="10" t="s">
        <v>245</v>
      </c>
      <c r="K3" s="10" t="s">
        <v>246</v>
      </c>
      <c r="L3" s="10" t="s">
        <v>247</v>
      </c>
      <c r="M3" s="10" t="s">
        <v>248</v>
      </c>
      <c r="N3" s="10" t="s">
        <v>249</v>
      </c>
      <c r="O3" s="10" t="s">
        <v>250</v>
      </c>
      <c r="P3" s="10" t="s">
        <v>251</v>
      </c>
      <c r="Q3" s="10" t="s">
        <v>252</v>
      </c>
      <c r="R3" s="10" t="s">
        <v>253</v>
      </c>
      <c r="S3" s="10" t="s">
        <v>254</v>
      </c>
      <c r="T3" s="10" t="s">
        <v>255</v>
      </c>
      <c r="U3" s="10" t="s">
        <v>195</v>
      </c>
      <c r="V3" s="10" t="s">
        <v>193</v>
      </c>
      <c r="W3" s="10" t="s">
        <v>256</v>
      </c>
      <c r="X3" s="10" t="s">
        <v>257</v>
      </c>
      <c r="Y3" s="10" t="s">
        <v>258</v>
      </c>
      <c r="Z3" s="10" t="s">
        <v>259</v>
      </c>
      <c r="AA3" s="10" t="s">
        <v>260</v>
      </c>
      <c r="AB3" s="10" t="s">
        <v>261</v>
      </c>
      <c r="AC3" s="10" t="s">
        <v>262</v>
      </c>
      <c r="AD3" s="10" t="s">
        <v>263</v>
      </c>
      <c r="AE3" s="10" t="s">
        <v>264</v>
      </c>
      <c r="AF3" s="10" t="s">
        <v>265</v>
      </c>
      <c r="AG3" s="10" t="s">
        <v>266</v>
      </c>
      <c r="AH3" s="10" t="s">
        <v>267</v>
      </c>
      <c r="AI3" s="10" t="s">
        <v>268</v>
      </c>
    </row>
    <row r="4" spans="1:36" s="93" customFormat="1">
      <c r="A4" s="93" t="s">
        <v>269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104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209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271</v>
      </c>
      <c r="D24" s="115" t="s">
        <v>271</v>
      </c>
      <c r="E24" s="106">
        <v>0.05</v>
      </c>
      <c r="F24" s="106">
        <v>0.1</v>
      </c>
      <c r="G24" s="106">
        <v>0.2</v>
      </c>
      <c r="H24" s="116" t="s">
        <v>271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304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271</v>
      </c>
      <c r="J25" s="72" t="s">
        <v>271</v>
      </c>
      <c r="K25" s="72" t="s">
        <v>271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116</v>
      </c>
      <c r="B26" s="16" t="s">
        <v>303</v>
      </c>
      <c r="C26" s="116" t="s">
        <v>271</v>
      </c>
      <c r="D26" s="115" t="s">
        <v>271</v>
      </c>
      <c r="E26" s="106">
        <v>0.2</v>
      </c>
      <c r="F26" s="106">
        <v>0.7</v>
      </c>
      <c r="G26" s="106">
        <v>2</v>
      </c>
      <c r="H26" s="116" t="s">
        <v>271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307</v>
      </c>
      <c r="B27" s="71" t="s">
        <v>303</v>
      </c>
      <c r="C27" s="116" t="s">
        <v>271</v>
      </c>
      <c r="D27" s="115" t="s">
        <v>271</v>
      </c>
      <c r="E27" s="106">
        <v>0.15</v>
      </c>
      <c r="F27" s="106">
        <v>0.25</v>
      </c>
      <c r="G27" s="106">
        <v>1</v>
      </c>
      <c r="H27" s="116" t="s">
        <v>271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303</v>
      </c>
      <c r="C28" s="116" t="s">
        <v>271</v>
      </c>
      <c r="D28" s="115" t="s">
        <v>271</v>
      </c>
      <c r="E28" s="106">
        <v>0.15</v>
      </c>
      <c r="F28" s="106">
        <v>0.25</v>
      </c>
      <c r="G28" s="106">
        <v>1</v>
      </c>
      <c r="H28" s="116" t="s">
        <v>271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303</v>
      </c>
      <c r="C29" s="31" t="s">
        <v>271</v>
      </c>
      <c r="D29" s="31" t="s">
        <v>271</v>
      </c>
      <c r="E29" s="24">
        <v>0.1</v>
      </c>
      <c r="F29" s="24">
        <v>0.2</v>
      </c>
      <c r="G29" s="24">
        <v>0</v>
      </c>
      <c r="H29" s="31" t="s">
        <v>271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104</v>
      </c>
      <c r="B41" s="191" t="s">
        <v>319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304</v>
      </c>
      <c r="B44" s="72">
        <v>50000</v>
      </c>
      <c r="C44" s="72">
        <v>200000</v>
      </c>
    </row>
    <row r="45" spans="1:36">
      <c r="A45" t="s">
        <v>116</v>
      </c>
      <c r="B45" s="72">
        <v>25000</v>
      </c>
      <c r="C45" s="72">
        <v>50000</v>
      </c>
    </row>
    <row r="46" spans="1:36">
      <c r="A46" t="s">
        <v>307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278</v>
      </c>
      <c r="E52" s="12" t="s">
        <v>278</v>
      </c>
      <c r="F52" s="12" t="s">
        <v>278</v>
      </c>
      <c r="G52" s="12" t="s">
        <v>321</v>
      </c>
      <c r="H52" s="12" t="s">
        <v>322</v>
      </c>
      <c r="I52" s="12" t="s">
        <v>136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237</v>
      </c>
      <c r="E53" s="10" t="s">
        <v>196</v>
      </c>
      <c r="F53" s="10" t="s">
        <v>256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319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319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319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319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319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319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319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174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233</v>
      </c>
      <c r="J76" s="11" t="s">
        <v>355</v>
      </c>
      <c r="K76" s="11" t="s">
        <v>186</v>
      </c>
      <c r="AJ76" s="12"/>
    </row>
    <row r="77" spans="1:36">
      <c r="A77" t="s">
        <v>92</v>
      </c>
      <c r="B77" s="176">
        <v>0</v>
      </c>
      <c r="C77" s="12" t="s">
        <v>356</v>
      </c>
      <c r="E77" s="12" t="s">
        <v>319</v>
      </c>
      <c r="F77" s="12" t="s">
        <v>319</v>
      </c>
      <c r="G77" s="12" t="s">
        <v>357</v>
      </c>
      <c r="H77" s="12" t="s">
        <v>322</v>
      </c>
      <c r="I77" s="12" t="s">
        <v>358</v>
      </c>
      <c r="J77" s="136" t="s">
        <v>359</v>
      </c>
      <c r="K77" s="12" t="s">
        <v>319</v>
      </c>
      <c r="AJ77" s="12"/>
    </row>
    <row r="78" spans="1:36">
      <c r="A78" t="s">
        <v>319</v>
      </c>
      <c r="B78" s="176">
        <v>5</v>
      </c>
      <c r="C78" s="134" t="s">
        <v>102</v>
      </c>
      <c r="D78" s="133"/>
      <c r="E78" s="12" t="s">
        <v>360</v>
      </c>
      <c r="F78" s="12" t="s">
        <v>93</v>
      </c>
      <c r="G78" s="12" t="s">
        <v>117</v>
      </c>
      <c r="H78" s="12" t="s">
        <v>136</v>
      </c>
      <c r="I78" s="12" t="s">
        <v>361</v>
      </c>
      <c r="J78" s="70" t="s">
        <v>362</v>
      </c>
      <c r="K78" s="12" t="s">
        <v>319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174</v>
      </c>
      <c r="J79" s="70" t="s">
        <v>90</v>
      </c>
      <c r="K79" s="12" t="s">
        <v>319</v>
      </c>
      <c r="AJ79" s="12"/>
    </row>
    <row r="80" spans="1:36">
      <c r="B80" s="176">
        <v>20</v>
      </c>
      <c r="C80" s="12" t="s">
        <v>97</v>
      </c>
      <c r="D80" s="12">
        <f>D79+1</f>
        <v>2</v>
      </c>
      <c r="E80" s="12" t="s">
        <v>96</v>
      </c>
      <c r="F80" s="12" t="s">
        <v>100</v>
      </c>
      <c r="J80" s="70" t="s">
        <v>366</v>
      </c>
      <c r="K80" s="12" t="s">
        <v>92</v>
      </c>
      <c r="AJ80" s="12"/>
    </row>
    <row r="81" spans="1:36">
      <c r="B81" s="176">
        <v>30</v>
      </c>
      <c r="C81" s="12" t="s">
        <v>162</v>
      </c>
      <c r="D81" s="12">
        <f>D80+1</f>
        <v>3</v>
      </c>
      <c r="J81" s="70" t="s">
        <v>99</v>
      </c>
      <c r="K81" s="12" t="s">
        <v>92</v>
      </c>
    </row>
    <row r="82" spans="1:36">
      <c r="B82" s="176">
        <v>40</v>
      </c>
      <c r="C82" s="12" t="s">
        <v>161</v>
      </c>
      <c r="D82" s="12">
        <f>D81+1</f>
        <v>4</v>
      </c>
      <c r="J82" s="70"/>
    </row>
    <row r="83" spans="1:36">
      <c r="B83" s="176">
        <v>50</v>
      </c>
      <c r="C83" s="12" t="s">
        <v>160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158</v>
      </c>
      <c r="D85" s="12">
        <f>D84+1</f>
        <v>7</v>
      </c>
    </row>
    <row r="86" spans="1:36">
      <c r="B86" s="176">
        <v>80</v>
      </c>
      <c r="C86" s="12" t="s">
        <v>157</v>
      </c>
      <c r="D86" s="12">
        <f>D85+1</f>
        <v>8</v>
      </c>
    </row>
    <row r="87" spans="1:36">
      <c r="B87" s="176">
        <v>89.99999999999999</v>
      </c>
      <c r="C87" s="12" t="s">
        <v>367</v>
      </c>
      <c r="D87" s="12">
        <f>D86+1</f>
        <v>9</v>
      </c>
    </row>
    <row r="88" spans="1:36">
      <c r="B88" s="176">
        <v>99.99999999999999</v>
      </c>
      <c r="C88" s="12" t="s">
        <v>368</v>
      </c>
      <c r="D88" s="12">
        <f>D87+1</f>
        <v>10</v>
      </c>
    </row>
    <row r="89" spans="1:36">
      <c r="C89" s="12" t="s">
        <v>369</v>
      </c>
      <c r="D89" s="12">
        <f>D88+1</f>
        <v>11</v>
      </c>
    </row>
    <row r="90" spans="1:36">
      <c r="C90" s="12" t="s">
        <v>130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